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skerhverv.sharepoint.com/sites/DE-LnogOverenskomst/Delte dokumenter/Overenskomst/Beregnere/BPA/"/>
    </mc:Choice>
  </mc:AlternateContent>
  <xr:revisionPtr revIDLastSave="20" documentId="8_{1FB21CB1-34C5-4B7B-ACCF-CD35156FAC33}" xr6:coauthVersionLast="47" xr6:coauthVersionMax="47" xr10:uidLastSave="{53CA5DBC-3CA8-481A-8400-3107BBD0FDB4}"/>
  <workbookProtection workbookAlgorithmName="SHA-512" workbookHashValue="TuKTr8FPSEV3T0ekj2QnccjOn7Vb7abjbJBPj6NHp0IO30QqrHNv0qrwbtUmjzZmdmC676MZiXZMexCeJGmx9g==" workbookSaltValue="lRsY+l5YASX3/SWhaxBwNQ==" workbookSpinCount="100000" lockStructure="1"/>
  <bookViews>
    <workbookView xWindow="30612" yWindow="-732" windowWidth="30936" windowHeight="16776" activeTab="2" xr2:uid="{00000000-000D-0000-FFFF-FFFF00000000}"/>
  </bookViews>
  <sheets>
    <sheet name="Administration" sheetId="13" r:id="rId1"/>
    <sheet name="Forudsætninger" sheetId="14" r:id="rId2"/>
    <sheet name="BPA-HHOK" sheetId="10" r:id="rId3"/>
    <sheet name="SOSU-OK" sheetId="11" r:id="rId4"/>
    <sheet name="Budgetark" sheetId="12" r:id="rId5"/>
  </sheets>
  <externalReferences>
    <externalReference r:id="rId6"/>
  </externalReferences>
  <definedNames>
    <definedName name="Engangsvederlag">[1]Forudsætninger!$H$73:$K$74</definedName>
    <definedName name="Forhøjetpens.">Forudsætninger!#REF!</definedName>
    <definedName name="Forhøjetpension">Forudsætninger!$L$37</definedName>
    <definedName name="Fremskrivning">Tabel1[[Årsfremskrivning ]:[Generel pris- og lønstigning, pct.]]</definedName>
    <definedName name="Kommuneliste">Forudsætninger!$P$6:$P$104</definedName>
    <definedName name="Kommunenavn">Forudsætninger!$P$6:$Q$104</definedName>
    <definedName name="Kommunetakst">#REF!</definedName>
    <definedName name="Kommunetakst2">#REF!</definedName>
    <definedName name="kommunetakster">#REF!</definedName>
    <definedName name="Kommunetakster1">#REF!</definedName>
    <definedName name="Kommunetakster10">#REF!</definedName>
    <definedName name="Kommunetakster14">#REF!</definedName>
    <definedName name="Kommunetakstsosu">#REF!</definedName>
    <definedName name="Lønsatsdatoer">#REF!</definedName>
    <definedName name="Lønsatsdatoer1">#REF!</definedName>
    <definedName name="Lønsatsdatoer2">#REF!</definedName>
    <definedName name="Lønsatsdatoer3">#REF!</definedName>
    <definedName name="Lønsatsdatoer4">#REF!</definedName>
    <definedName name="Lønsatser">Forudsætninger!$B$10:$G$31</definedName>
    <definedName name="Løntrin">Forudsætninger!$B$10:$B$31</definedName>
    <definedName name="Løntrin2">Forudsætninger!#REF!</definedName>
    <definedName name="SSA">Forudsætninger!$I$18:$I$21</definedName>
    <definedName name="SSA.">Forudsætninger!$I$18:$I$21</definedName>
    <definedName name="SSAløn">Forudsætninger!$I$18:$I$22</definedName>
    <definedName name="SSAtillæg">Forudsætninger!$I$18:$J$21</definedName>
    <definedName name="SSATillæg.">Forudsætninger!$I$18:$J$22</definedName>
    <definedName name="SSH">Forudsætninger!$I$9:$I$12</definedName>
    <definedName name="SSH.">Forudsætninger!$I$9:$I$12</definedName>
    <definedName name="SSHløn">Forudsætninger!$I$9:$I$13</definedName>
    <definedName name="SSHtillæg">Forudsætninger!$I$9:$J$12</definedName>
    <definedName name="SSHTillæg.">Forudsætninger!$I$9:$J$13</definedName>
    <definedName name="Stedtillæg">Forudsætninger!$C$9:$G$9</definedName>
    <definedName name="Stedtillæg2">Forudsætninger!#REF!</definedName>
    <definedName name="Timepriser">Forudsætninger!$C$10:$G$31</definedName>
    <definedName name="Timepriser2">Forudsætninger!#REF!</definedName>
    <definedName name="Vælg">Forudsætninger!$R$1:$R$3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14" l="1"/>
  <c r="E59" i="13"/>
  <c r="E57" i="13"/>
  <c r="E58" i="13" s="1"/>
  <c r="E55" i="13"/>
  <c r="E56" i="13" s="1"/>
  <c r="E53" i="13"/>
  <c r="E54" i="13" s="1"/>
  <c r="E51" i="13"/>
  <c r="E52" i="13" s="1"/>
  <c r="E49" i="13"/>
  <c r="E50" i="13" s="1"/>
  <c r="E47" i="13"/>
  <c r="E48" i="13" s="1"/>
  <c r="E45" i="13"/>
  <c r="E46" i="13" s="1"/>
  <c r="E44" i="13"/>
  <c r="E43" i="13"/>
  <c r="I51" i="14"/>
  <c r="H8" i="11" l="1"/>
  <c r="H8" i="10"/>
  <c r="F83" i="14" l="1"/>
  <c r="F81" i="14"/>
  <c r="E96" i="11"/>
  <c r="E96" i="10" l="1"/>
  <c r="G92" i="10"/>
  <c r="E92" i="10"/>
  <c r="M92" i="10" l="1"/>
  <c r="G92" i="11"/>
  <c r="C5" i="11"/>
  <c r="C5" i="10"/>
  <c r="G91" i="10" l="1"/>
  <c r="G91" i="11"/>
  <c r="F4" i="11" l="1"/>
  <c r="G8" i="11" s="1"/>
  <c r="G51" i="11" s="1"/>
  <c r="F4" i="10"/>
  <c r="G8" i="10" s="1"/>
  <c r="E75" i="10" s="1"/>
  <c r="G51" i="10" l="1"/>
  <c r="M8" i="11" a="1"/>
  <c r="M8" i="11" s="1"/>
  <c r="F23" i="11"/>
  <c r="K8" i="11" a="1"/>
  <c r="K8" i="11" s="1"/>
  <c r="F35" i="11"/>
  <c r="F20" i="11"/>
  <c r="F34" i="11"/>
  <c r="F19" i="11"/>
  <c r="I8" i="11"/>
  <c r="G49" i="11" s="1"/>
  <c r="F33" i="11"/>
  <c r="F18" i="11"/>
  <c r="F45" i="11"/>
  <c r="F32" i="11"/>
  <c r="F17" i="11"/>
  <c r="F44" i="11"/>
  <c r="F30" i="11"/>
  <c r="F15" i="11"/>
  <c r="F43" i="11"/>
  <c r="F29" i="11"/>
  <c r="F14" i="11"/>
  <c r="F42" i="11"/>
  <c r="F28" i="11"/>
  <c r="F13" i="11"/>
  <c r="F40" i="11"/>
  <c r="F27" i="11"/>
  <c r="F12" i="11"/>
  <c r="F25" i="11"/>
  <c r="J8" i="11" a="1"/>
  <c r="J8" i="11" s="1"/>
  <c r="F39" i="11"/>
  <c r="F38" i="11"/>
  <c r="F24" i="11"/>
  <c r="L8" i="11"/>
  <c r="F37" i="11"/>
  <c r="F22" i="11"/>
  <c r="K8" i="10"/>
  <c r="F15" i="10"/>
  <c r="F23" i="10"/>
  <c r="F20" i="10"/>
  <c r="F30" i="10"/>
  <c r="F22" i="10"/>
  <c r="F44" i="10"/>
  <c r="F38" i="10"/>
  <c r="F34" i="10"/>
  <c r="F40" i="10"/>
  <c r="F25" i="10"/>
  <c r="F37" i="10"/>
  <c r="F18" i="10"/>
  <c r="F39" i="10"/>
  <c r="F12" i="10"/>
  <c r="F33" i="10"/>
  <c r="F42" i="10"/>
  <c r="F13" i="10"/>
  <c r="L8" i="10"/>
  <c r="F14" i="10"/>
  <c r="F17" i="10"/>
  <c r="M8" i="10"/>
  <c r="F29" i="10"/>
  <c r="F32" i="10"/>
  <c r="I8" i="10"/>
  <c r="F43" i="10"/>
  <c r="J8" i="10"/>
  <c r="H38" i="10" s="1"/>
  <c r="F19" i="10"/>
  <c r="F24" i="10"/>
  <c r="F45" i="10"/>
  <c r="F27" i="10"/>
  <c r="F28" i="10"/>
  <c r="F35" i="10"/>
  <c r="C3" i="12"/>
  <c r="G42" i="10" l="1"/>
  <c r="G49" i="10"/>
  <c r="E67" i="11"/>
  <c r="E67" i="10"/>
  <c r="M115" i="11" l="1"/>
  <c r="J7" i="12" l="1"/>
  <c r="J6" i="12"/>
  <c r="G7" i="12"/>
  <c r="G6" i="12"/>
  <c r="H46" i="10" s="1"/>
  <c r="D10" i="13" l="1"/>
  <c r="M75" i="10"/>
  <c r="I46" i="11"/>
  <c r="H46" i="11"/>
  <c r="J46" i="11"/>
  <c r="G46" i="11"/>
  <c r="G46" i="10"/>
  <c r="I46" i="10"/>
  <c r="J46" i="10"/>
  <c r="F63" i="11" l="1"/>
  <c r="F62" i="11"/>
  <c r="F59" i="11"/>
  <c r="F57" i="11"/>
  <c r="E86" i="11" l="1"/>
  <c r="E86" i="10"/>
  <c r="E46" i="11" l="1"/>
  <c r="J11" i="12" s="1"/>
  <c r="F59" i="10" l="1"/>
  <c r="F61" i="11" l="1"/>
  <c r="E113" i="10"/>
  <c r="M113" i="10" s="1"/>
  <c r="E111" i="10"/>
  <c r="M111" i="10" s="1"/>
  <c r="C46" i="10" l="1"/>
  <c r="E75" i="11" l="1"/>
  <c r="M75" i="11" s="1"/>
  <c r="C18" i="12" s="1"/>
  <c r="B18" i="12"/>
  <c r="G69" i="10" l="1"/>
  <c r="E71" i="11" l="1"/>
  <c r="M71" i="11" s="1"/>
  <c r="E71" i="10"/>
  <c r="M71" i="10" s="1"/>
  <c r="F57" i="10"/>
  <c r="F62" i="10"/>
  <c r="F63" i="10"/>
  <c r="F61" i="10"/>
  <c r="E115" i="11" l="1"/>
  <c r="E113" i="11"/>
  <c r="M113" i="11" s="1"/>
  <c r="E111" i="11"/>
  <c r="M111" i="11" s="1"/>
  <c r="E115" i="10"/>
  <c r="M115" i="10" s="1"/>
  <c r="B26" i="12" s="1"/>
  <c r="F84" i="14"/>
  <c r="E80" i="14"/>
  <c r="F80" i="14" s="1"/>
  <c r="G94" i="10" s="1"/>
  <c r="E94" i="14" l="1"/>
  <c r="G90" i="11" s="1"/>
  <c r="E73" i="11"/>
  <c r="M73" i="11" s="1"/>
  <c r="C17" i="12" s="1"/>
  <c r="E73" i="10"/>
  <c r="M73" i="10" s="1"/>
  <c r="B17" i="12" s="1"/>
  <c r="B3" i="12" l="1"/>
  <c r="E33" i="13" l="1"/>
  <c r="F33" i="13" s="1"/>
  <c r="E32" i="13"/>
  <c r="F32" i="13" s="1"/>
  <c r="E31" i="13"/>
  <c r="F31" i="13" s="1"/>
  <c r="F26" i="13"/>
  <c r="E26" i="13"/>
  <c r="D26" i="13"/>
  <c r="C26" i="13"/>
  <c r="C26" i="12" l="1"/>
  <c r="C37" i="12" s="1"/>
  <c r="B37" i="12"/>
  <c r="N13" i="11" l="1"/>
  <c r="O13" i="11"/>
  <c r="N18" i="11"/>
  <c r="O18" i="11"/>
  <c r="N23" i="11"/>
  <c r="O23" i="11"/>
  <c r="N28" i="11"/>
  <c r="O28" i="11"/>
  <c r="N33" i="11"/>
  <c r="O33" i="11"/>
  <c r="O38" i="10"/>
  <c r="O33" i="10"/>
  <c r="O28" i="10"/>
  <c r="O23" i="10"/>
  <c r="O18" i="10"/>
  <c r="O13" i="10"/>
  <c r="N38" i="10"/>
  <c r="N33" i="10"/>
  <c r="N28" i="10"/>
  <c r="N23" i="10"/>
  <c r="N18" i="10"/>
  <c r="N13" i="10"/>
  <c r="G69" i="11" l="1"/>
  <c r="G94" i="11" l="1"/>
  <c r="D46" i="11"/>
  <c r="J12" i="12" s="1"/>
  <c r="C46" i="11"/>
  <c r="E46" i="10"/>
  <c r="D46" i="10"/>
  <c r="G11" i="12" l="1"/>
  <c r="G10" i="12"/>
  <c r="E49" i="11"/>
  <c r="M49" i="11" s="1"/>
  <c r="F46" i="11"/>
  <c r="C6" i="12" s="1"/>
  <c r="J10" i="12"/>
  <c r="G12" i="12"/>
  <c r="E49" i="10"/>
  <c r="M49" i="10" s="1"/>
  <c r="F46" i="10"/>
  <c r="B6" i="12" s="1"/>
  <c r="G90" i="10"/>
  <c r="F67" i="11" l="1"/>
  <c r="M67" i="11" s="1"/>
  <c r="C13" i="12" s="1"/>
  <c r="F67" i="10"/>
  <c r="M67" i="10" s="1"/>
  <c r="B13" i="12" s="1"/>
  <c r="E51" i="10"/>
  <c r="B27" i="13"/>
  <c r="C27" i="13" s="1"/>
  <c r="D27" i="13" s="1"/>
  <c r="E51" i="11"/>
  <c r="C10" i="12"/>
  <c r="E63" i="11"/>
  <c r="B10" i="12"/>
  <c r="E63" i="10"/>
  <c r="J13" i="12" l="1"/>
  <c r="G13" i="12"/>
  <c r="E53" i="11"/>
  <c r="E94" i="11"/>
  <c r="J15" i="12" s="1"/>
  <c r="E53" i="10"/>
  <c r="E94" i="10"/>
  <c r="G15" i="12" s="1"/>
  <c r="E90" i="10" l="1"/>
  <c r="M90" i="10" s="1"/>
  <c r="F55" i="10"/>
  <c r="M55" i="10" s="1"/>
  <c r="F65" i="11"/>
  <c r="G65" i="11"/>
  <c r="E90" i="11"/>
  <c r="M69" i="11"/>
  <c r="C16" i="12" s="1"/>
  <c r="E65" i="11"/>
  <c r="F55" i="11"/>
  <c r="J14" i="12"/>
  <c r="J16" i="12" s="1"/>
  <c r="F109" i="11" s="1"/>
  <c r="M109" i="11" s="1"/>
  <c r="C28" i="12" s="1"/>
  <c r="F65" i="10"/>
  <c r="M69" i="10"/>
  <c r="B16" i="12" s="1"/>
  <c r="E65" i="10"/>
  <c r="G65" i="10"/>
  <c r="G14" i="12"/>
  <c r="G16" i="12" s="1"/>
  <c r="F109" i="10" s="1"/>
  <c r="M109" i="10" s="1"/>
  <c r="F79" i="14"/>
  <c r="B28" i="12" l="1"/>
  <c r="M90" i="11"/>
  <c r="E92" i="11"/>
  <c r="M92" i="11" s="1"/>
  <c r="C23" i="12" s="1"/>
  <c r="E61" i="10"/>
  <c r="M61" i="10" s="1"/>
  <c r="E61" i="11"/>
  <c r="M61" i="11" s="1"/>
  <c r="M55" i="11"/>
  <c r="E27" i="13"/>
  <c r="F85" i="14"/>
  <c r="M18" i="11"/>
  <c r="M23" i="11"/>
  <c r="M51" i="11"/>
  <c r="C8" i="12" s="1"/>
  <c r="M33" i="11"/>
  <c r="M94" i="11"/>
  <c r="M28" i="11"/>
  <c r="M13" i="11"/>
  <c r="M18" i="10"/>
  <c r="M13" i="10"/>
  <c r="M23" i="10"/>
  <c r="M51" i="10"/>
  <c r="B8" i="12" s="1"/>
  <c r="M28" i="10"/>
  <c r="M38" i="10"/>
  <c r="M33" i="10"/>
  <c r="C22" i="12" l="1"/>
  <c r="F86" i="14"/>
  <c r="F27" i="13"/>
  <c r="F87" i="14"/>
  <c r="F88" i="14"/>
  <c r="F89" i="14"/>
  <c r="C24" i="12"/>
  <c r="E62" i="11"/>
  <c r="M63" i="11" s="1"/>
  <c r="L13" i="11"/>
  <c r="H39" i="11"/>
  <c r="H38" i="11"/>
  <c r="L38" i="11" s="1"/>
  <c r="H40" i="11"/>
  <c r="L23" i="11"/>
  <c r="L28" i="11"/>
  <c r="I24" i="11"/>
  <c r="L24" i="11" s="1"/>
  <c r="I14" i="11"/>
  <c r="L14" i="11" s="1"/>
  <c r="I44" i="11"/>
  <c r="I34" i="11"/>
  <c r="I19" i="11"/>
  <c r="L19" i="11" s="1"/>
  <c r="I39" i="11"/>
  <c r="I29" i="11"/>
  <c r="L33" i="11"/>
  <c r="L18" i="11"/>
  <c r="J25" i="11"/>
  <c r="J15" i="11"/>
  <c r="L15" i="11" s="1"/>
  <c r="J22" i="11"/>
  <c r="L22" i="11" s="1"/>
  <c r="J35" i="11"/>
  <c r="J12" i="11"/>
  <c r="O12" i="11" s="1"/>
  <c r="J20" i="11"/>
  <c r="L20" i="11" s="1"/>
  <c r="J45" i="11"/>
  <c r="J40" i="11"/>
  <c r="J42" i="11"/>
  <c r="J37" i="11"/>
  <c r="L37" i="11" s="1"/>
  <c r="J30" i="11"/>
  <c r="L30" i="11" s="1"/>
  <c r="J17" i="11"/>
  <c r="L17" i="11" s="1"/>
  <c r="J32" i="11"/>
  <c r="L32" i="11" s="1"/>
  <c r="J27" i="11"/>
  <c r="L27" i="11" s="1"/>
  <c r="K40" i="11"/>
  <c r="K33" i="11"/>
  <c r="K35" i="11"/>
  <c r="K34" i="11"/>
  <c r="K23" i="11"/>
  <c r="K44" i="11"/>
  <c r="K13" i="11"/>
  <c r="K38" i="11"/>
  <c r="K22" i="11"/>
  <c r="K37" i="11"/>
  <c r="K19" i="11"/>
  <c r="K12" i="11"/>
  <c r="K15" i="11"/>
  <c r="K45" i="11"/>
  <c r="K43" i="11"/>
  <c r="K17" i="11"/>
  <c r="K27" i="11"/>
  <c r="K32" i="11"/>
  <c r="K29" i="11"/>
  <c r="K24" i="11"/>
  <c r="K20" i="11"/>
  <c r="K28" i="11"/>
  <c r="K42" i="11"/>
  <c r="K25" i="11"/>
  <c r="K18" i="11"/>
  <c r="K39" i="11"/>
  <c r="K30" i="11"/>
  <c r="K14" i="11"/>
  <c r="G44" i="11"/>
  <c r="G45" i="11"/>
  <c r="G43" i="11"/>
  <c r="G42" i="11"/>
  <c r="L13" i="10"/>
  <c r="G45" i="10"/>
  <c r="G44" i="10"/>
  <c r="G43" i="10"/>
  <c r="L43" i="10" s="1"/>
  <c r="J20" i="10"/>
  <c r="L20" i="10" s="1"/>
  <c r="J15" i="10"/>
  <c r="L15" i="10" s="1"/>
  <c r="J30" i="10"/>
  <c r="L30" i="10" s="1"/>
  <c r="J12" i="10"/>
  <c r="L12" i="10" s="1"/>
  <c r="J42" i="10"/>
  <c r="J40" i="10"/>
  <c r="J22" i="10"/>
  <c r="L22" i="10" s="1"/>
  <c r="J37" i="10"/>
  <c r="L37" i="10" s="1"/>
  <c r="J35" i="10"/>
  <c r="J45" i="10"/>
  <c r="J17" i="10"/>
  <c r="J25" i="10"/>
  <c r="L25" i="10" s="1"/>
  <c r="J32" i="10"/>
  <c r="L32" i="10" s="1"/>
  <c r="J27" i="10"/>
  <c r="L27" i="10" s="1"/>
  <c r="I19" i="10"/>
  <c r="I44" i="10"/>
  <c r="E62" i="10"/>
  <c r="I14" i="10"/>
  <c r="L14" i="10" s="1"/>
  <c r="I29" i="10"/>
  <c r="L29" i="10" s="1"/>
  <c r="I39" i="10"/>
  <c r="I34" i="10"/>
  <c r="I24" i="10"/>
  <c r="L33" i="10"/>
  <c r="L28" i="10"/>
  <c r="H40" i="10"/>
  <c r="H39" i="10"/>
  <c r="L38" i="10"/>
  <c r="K45" i="10"/>
  <c r="K14" i="10"/>
  <c r="K39" i="10"/>
  <c r="K37" i="10"/>
  <c r="K44" i="10"/>
  <c r="K12" i="10"/>
  <c r="K35" i="10"/>
  <c r="K20" i="10"/>
  <c r="K34" i="10"/>
  <c r="K40" i="10"/>
  <c r="K18" i="10"/>
  <c r="K28" i="10"/>
  <c r="K15" i="10"/>
  <c r="K22" i="10"/>
  <c r="K29" i="10"/>
  <c r="K23" i="10"/>
  <c r="K25" i="10"/>
  <c r="K42" i="10"/>
  <c r="K17" i="10"/>
  <c r="K43" i="10"/>
  <c r="K13" i="10"/>
  <c r="K27" i="10"/>
  <c r="K30" i="10"/>
  <c r="K33" i="10"/>
  <c r="K24" i="10"/>
  <c r="K19" i="10"/>
  <c r="K32" i="10"/>
  <c r="K38" i="10"/>
  <c r="L23" i="10"/>
  <c r="L18" i="10"/>
  <c r="F10" i="13" l="1"/>
  <c r="G96" i="11"/>
  <c r="M96" i="11" s="1"/>
  <c r="G96" i="10"/>
  <c r="M96" i="10" s="1"/>
  <c r="B31" i="12" s="1"/>
  <c r="M65" i="11"/>
  <c r="C15" i="12" s="1"/>
  <c r="L39" i="11"/>
  <c r="M62" i="11"/>
  <c r="C14" i="12" s="1"/>
  <c r="M62" i="10"/>
  <c r="M63" i="10"/>
  <c r="L45" i="11"/>
  <c r="L40" i="11"/>
  <c r="L42" i="11"/>
  <c r="N43" i="11"/>
  <c r="O43" i="11"/>
  <c r="N32" i="11"/>
  <c r="O32" i="11"/>
  <c r="N12" i="11"/>
  <c r="M12" i="11" s="1"/>
  <c r="N25" i="11"/>
  <c r="O25" i="11"/>
  <c r="N34" i="11"/>
  <c r="O34" i="11"/>
  <c r="N24" i="11"/>
  <c r="O24" i="11"/>
  <c r="N38" i="11"/>
  <c r="O38" i="11"/>
  <c r="N17" i="11"/>
  <c r="O17" i="11"/>
  <c r="N35" i="11"/>
  <c r="O35" i="11"/>
  <c r="N29" i="11"/>
  <c r="O29" i="11"/>
  <c r="O39" i="11"/>
  <c r="N39" i="11"/>
  <c r="O45" i="11"/>
  <c r="N45" i="11"/>
  <c r="L45" i="10"/>
  <c r="N44" i="11"/>
  <c r="O44" i="11"/>
  <c r="L29" i="11"/>
  <c r="L43" i="11"/>
  <c r="N30" i="11"/>
  <c r="O30" i="11"/>
  <c r="N22" i="11"/>
  <c r="O22" i="11"/>
  <c r="L44" i="11"/>
  <c r="L25" i="11"/>
  <c r="L34" i="11"/>
  <c r="L12" i="11"/>
  <c r="L35" i="11"/>
  <c r="N42" i="11"/>
  <c r="O42" i="11"/>
  <c r="N27" i="11"/>
  <c r="O27" i="11"/>
  <c r="N37" i="11"/>
  <c r="O37" i="11"/>
  <c r="O20" i="11"/>
  <c r="N20" i="11"/>
  <c r="O15" i="11"/>
  <c r="N15" i="11"/>
  <c r="N19" i="11"/>
  <c r="O19" i="11"/>
  <c r="N14" i="11"/>
  <c r="O14" i="11"/>
  <c r="N40" i="11"/>
  <c r="O40" i="11"/>
  <c r="L39" i="10"/>
  <c r="L40" i="10"/>
  <c r="L42" i="10"/>
  <c r="L44" i="10"/>
  <c r="N17" i="10"/>
  <c r="O17" i="10"/>
  <c r="O24" i="10"/>
  <c r="N24" i="10"/>
  <c r="O14" i="10"/>
  <c r="N14" i="10"/>
  <c r="O27" i="10"/>
  <c r="N27" i="10"/>
  <c r="O15" i="10"/>
  <c r="N15" i="10"/>
  <c r="N45" i="10"/>
  <c r="O45" i="10"/>
  <c r="L17" i="10"/>
  <c r="N19" i="10"/>
  <c r="O19" i="10"/>
  <c r="L19" i="10"/>
  <c r="N39" i="10"/>
  <c r="O39" i="10"/>
  <c r="O34" i="10"/>
  <c r="N34" i="10"/>
  <c r="N32" i="10"/>
  <c r="O32" i="10"/>
  <c r="O35" i="10"/>
  <c r="N35" i="10"/>
  <c r="O20" i="10"/>
  <c r="N20" i="10"/>
  <c r="O43" i="10"/>
  <c r="N43" i="10"/>
  <c r="N29" i="10"/>
  <c r="O29" i="10"/>
  <c r="O22" i="10"/>
  <c r="N22" i="10"/>
  <c r="N30" i="10"/>
  <c r="O30" i="10"/>
  <c r="O44" i="10"/>
  <c r="N44" i="10"/>
  <c r="O40" i="10"/>
  <c r="N40" i="10"/>
  <c r="N25" i="10"/>
  <c r="O25" i="10"/>
  <c r="N37" i="10"/>
  <c r="O37" i="10"/>
  <c r="O12" i="10"/>
  <c r="N12" i="10"/>
  <c r="N42" i="10"/>
  <c r="O42" i="10"/>
  <c r="L34" i="10"/>
  <c r="L35" i="10"/>
  <c r="L24" i="10"/>
  <c r="C31" i="12" l="1"/>
  <c r="M98" i="11"/>
  <c r="M20" i="11"/>
  <c r="M39" i="11"/>
  <c r="M15" i="10"/>
  <c r="M14" i="10"/>
  <c r="M15" i="11"/>
  <c r="M45" i="11"/>
  <c r="M22" i="11"/>
  <c r="M32" i="11"/>
  <c r="M17" i="11"/>
  <c r="M30" i="10"/>
  <c r="M29" i="10"/>
  <c r="M32" i="10"/>
  <c r="M19" i="10"/>
  <c r="M43" i="11"/>
  <c r="M24" i="11"/>
  <c r="M12" i="10"/>
  <c r="M44" i="10"/>
  <c r="M22" i="10"/>
  <c r="M35" i="10"/>
  <c r="M39" i="10"/>
  <c r="M45" i="10"/>
  <c r="M35" i="11"/>
  <c r="M38" i="11"/>
  <c r="M34" i="11"/>
  <c r="M42" i="11"/>
  <c r="M44" i="11"/>
  <c r="M37" i="11"/>
  <c r="M40" i="11"/>
  <c r="M29" i="11"/>
  <c r="M30" i="11"/>
  <c r="M27" i="11"/>
  <c r="M25" i="11"/>
  <c r="M19" i="11"/>
  <c r="M14" i="11"/>
  <c r="M42" i="10"/>
  <c r="M43" i="10"/>
  <c r="M37" i="10"/>
  <c r="B14" i="12"/>
  <c r="M25" i="10"/>
  <c r="M40" i="10"/>
  <c r="M20" i="10"/>
  <c r="M17" i="10"/>
  <c r="M27" i="10"/>
  <c r="M24" i="10"/>
  <c r="M34" i="10"/>
  <c r="N46" i="11"/>
  <c r="O46" i="11"/>
  <c r="O46" i="10"/>
  <c r="N46" i="10"/>
  <c r="G53" i="11" l="1"/>
  <c r="G53" i="10"/>
  <c r="M53" i="10" s="1"/>
  <c r="C7" i="12"/>
  <c r="B7" i="12"/>
  <c r="E57" i="10" l="1"/>
  <c r="B9" i="12"/>
  <c r="M53" i="11"/>
  <c r="E57" i="11" s="1"/>
  <c r="E59" i="11" l="1"/>
  <c r="M59" i="11" s="1"/>
  <c r="C9" i="12"/>
  <c r="C11" i="12" s="1"/>
  <c r="M57" i="11" l="1"/>
  <c r="C12" i="12" s="1"/>
  <c r="C19" i="12" s="1"/>
  <c r="M77" i="11" l="1"/>
  <c r="M79" i="11" s="1"/>
  <c r="M80" i="11" s="1"/>
  <c r="M83" i="11" l="1"/>
  <c r="M84" i="11"/>
  <c r="M81" i="11"/>
  <c r="M107" i="11" l="1"/>
  <c r="M100" i="11"/>
  <c r="C20" i="12"/>
  <c r="C21" i="12" s="1"/>
  <c r="C39" i="12" s="1"/>
  <c r="M105" i="11"/>
  <c r="M82" i="11"/>
  <c r="M117" i="11" l="1"/>
  <c r="C25" i="12"/>
  <c r="C27" i="12"/>
  <c r="C36" i="12" s="1"/>
  <c r="C29" i="12" l="1"/>
  <c r="M94" i="10"/>
  <c r="B24" i="12" s="1"/>
  <c r="B11" i="12" l="1"/>
  <c r="B23" i="12" l="1"/>
  <c r="M98" i="10"/>
  <c r="E59" i="10"/>
  <c r="M59" i="10" s="1"/>
  <c r="M57" i="10"/>
  <c r="B22" i="12"/>
  <c r="B12" i="12" l="1"/>
  <c r="M65" i="10" l="1"/>
  <c r="M77" i="10" l="1"/>
  <c r="M79" i="10" s="1"/>
  <c r="B15" i="12"/>
  <c r="B19" i="12" s="1"/>
  <c r="M80" i="10" l="1"/>
  <c r="M84" i="10" s="1"/>
  <c r="M81" i="10"/>
  <c r="M83" i="10"/>
  <c r="M100" i="10" l="1"/>
  <c r="M107" i="10"/>
  <c r="B20" i="12"/>
  <c r="B21" i="12" s="1"/>
  <c r="D8" i="13" s="1"/>
  <c r="M82" i="10"/>
  <c r="M105" i="10"/>
  <c r="M117" i="10" l="1"/>
  <c r="B25" i="12"/>
  <c r="B27" i="12"/>
  <c r="B36" i="12" s="1"/>
  <c r="B39" i="12"/>
  <c r="F9" i="13"/>
  <c r="F11" i="13" s="1"/>
  <c r="M86" i="10"/>
  <c r="M87" i="10" s="1"/>
  <c r="M101" i="10" s="1"/>
  <c r="M86" i="11"/>
  <c r="M87" i="11" s="1"/>
  <c r="M101" i="11" s="1"/>
  <c r="B29" i="12" l="1"/>
  <c r="C30" i="12"/>
  <c r="C32" i="12" s="1"/>
  <c r="C34" i="12" s="1"/>
  <c r="M119" i="11"/>
  <c r="B30" i="12"/>
  <c r="M119" i="10"/>
  <c r="B32" i="12" l="1"/>
  <c r="B34" i="12" s="1"/>
  <c r="B38" i="12" s="1"/>
  <c r="C38" i="12"/>
  <c r="C35" i="12"/>
  <c r="B35" i="1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<sst xmlns="http://schemas.openxmlformats.org/spreadsheetml/2006/main" count="937" uniqueCount="461">
  <si>
    <t>Timer pr. uge</t>
  </si>
  <si>
    <t>Kr. pr. time</t>
  </si>
  <si>
    <t>ATP</t>
  </si>
  <si>
    <t>Kommune:</t>
  </si>
  <si>
    <t>Borger:</t>
  </si>
  <si>
    <t>Aktuelle lønsatser pr.</t>
  </si>
  <si>
    <t>Søn- hell. Dage</t>
  </si>
  <si>
    <t>Lørdags-godtgør</t>
  </si>
  <si>
    <t>Forskudt tid aften</t>
  </si>
  <si>
    <t>Forskudt tid nat</t>
  </si>
  <si>
    <t>Tidsrum</t>
  </si>
  <si>
    <t>Timeløn</t>
  </si>
  <si>
    <t>Søn-hell</t>
  </si>
  <si>
    <t>Forskudt aften</t>
  </si>
  <si>
    <t>Forskudt nat</t>
  </si>
  <si>
    <t>Timeløn rådighed</t>
  </si>
  <si>
    <t>Beløb</t>
  </si>
  <si>
    <t>Mandag</t>
  </si>
  <si>
    <t>Kl. 0-6</t>
  </si>
  <si>
    <t xml:space="preserve"> </t>
  </si>
  <si>
    <t>Kl. 6-17</t>
  </si>
  <si>
    <t>Kl. 17-23</t>
  </si>
  <si>
    <t>Kl. 23-0</t>
  </si>
  <si>
    <t>Tirsdag</t>
  </si>
  <si>
    <t>Onsdag</t>
  </si>
  <si>
    <t>Torsdag</t>
  </si>
  <si>
    <t>Fredag</t>
  </si>
  <si>
    <t>Lørdag</t>
  </si>
  <si>
    <t>Søndag</t>
  </si>
  <si>
    <t>Timer/dag</t>
  </si>
  <si>
    <t>Helligd.</t>
  </si>
  <si>
    <t>Pr. uge</t>
  </si>
  <si>
    <t>Ansatte</t>
  </si>
  <si>
    <t>Timer/år/ansat</t>
  </si>
  <si>
    <t>Kvalifikationstill. (eks. respiration)</t>
  </si>
  <si>
    <t>Feriepenge</t>
  </si>
  <si>
    <t>Lønkr. pr. uge</t>
  </si>
  <si>
    <t>Ferie/fridage</t>
  </si>
  <si>
    <t>Arbejdsgiver tilskud</t>
  </si>
  <si>
    <t>Pension</t>
  </si>
  <si>
    <t>Pension af tillæg (aften/nat)</t>
  </si>
  <si>
    <t>AES</t>
  </si>
  <si>
    <t>DA/LO uddannelsesfond</t>
  </si>
  <si>
    <t>Samlet ugentligt netto lønforbrug</t>
  </si>
  <si>
    <t>Gennemsnitlig årlige forbrug. Uden rummelighed</t>
  </si>
  <si>
    <t>Gennemsnitlig årlige forbrug. Med rummelighed</t>
  </si>
  <si>
    <t>AUB</t>
  </si>
  <si>
    <t>Rådighed</t>
  </si>
  <si>
    <t>Gennemsnitlige timepris Uden rummelighed</t>
  </si>
  <si>
    <t>Puljetimer pr år</t>
  </si>
  <si>
    <t>Pr år</t>
  </si>
  <si>
    <t>kr pr fuldtidsmedarbejder</t>
  </si>
  <si>
    <t>Pr kvartal</t>
  </si>
  <si>
    <t>Bevillingstimer i alt</t>
  </si>
  <si>
    <t>Pr måned</t>
  </si>
  <si>
    <t>pr fuldtidmedarbejder</t>
  </si>
  <si>
    <t xml:space="preserve">Arbejdstimer </t>
  </si>
  <si>
    <t>Fuldtidsmedarbejdere</t>
  </si>
  <si>
    <t>kr i samlet bevilling</t>
  </si>
  <si>
    <t>Enheder/tekst</t>
  </si>
  <si>
    <t>Stk. i bevillingen</t>
  </si>
  <si>
    <t>Antal timer</t>
  </si>
  <si>
    <t>Gennemsnitlige månedlige forbrug. Uden rummelighed</t>
  </si>
  <si>
    <t>Gennemsnitlige månedlige forbrug. Med rummelighed</t>
  </si>
  <si>
    <t>I %</t>
  </si>
  <si>
    <t>Gennemsnitlig timepris Med rummelighed</t>
  </si>
  <si>
    <t>Norm timer pr uge</t>
  </si>
  <si>
    <t>Timeløn Norm timer</t>
  </si>
  <si>
    <t>Timer rådighed pr uge</t>
  </si>
  <si>
    <r>
      <t>Tillæg søgnehelligdage</t>
    </r>
    <r>
      <rPr>
        <b/>
        <vertAlign val="superscript"/>
        <sz val="9"/>
        <rFont val="Verdana"/>
        <family val="2"/>
      </rPr>
      <t>1</t>
    </r>
  </si>
  <si>
    <t xml:space="preserve">Årets alm. helligdage: </t>
  </si>
  <si>
    <t xml:space="preserve">Særlige helligdage: </t>
  </si>
  <si>
    <t>Juleaftensdag hele dagen. 1.maj, grundlovsdag og nytårsaftensdag fra kl. 12.00 til 24.00, 1,5 dage samlet for de 3.</t>
  </si>
  <si>
    <t xml:space="preserve">Helligdage i alt: </t>
  </si>
  <si>
    <t>AKUT</t>
  </si>
  <si>
    <t>AUA</t>
  </si>
  <si>
    <t>Årligt gennemsnit</t>
  </si>
  <si>
    <t>AFU</t>
  </si>
  <si>
    <t>AES+AFU</t>
  </si>
  <si>
    <t>Andre udgifter efter regning</t>
  </si>
  <si>
    <t>kr/time</t>
  </si>
  <si>
    <t>Forsikring</t>
  </si>
  <si>
    <t>Pr. år</t>
  </si>
  <si>
    <t>Tillæg puljetimer årlige</t>
  </si>
  <si>
    <t>Tillæg norm timer ugentlige</t>
  </si>
  <si>
    <t>Pr. time</t>
  </si>
  <si>
    <t>Kr pr fuldtidmedarbejder</t>
  </si>
  <si>
    <t>Oplæringstimer</t>
  </si>
  <si>
    <t>Løse timer (P-møde, mus)</t>
  </si>
  <si>
    <t>Timer pr år</t>
  </si>
  <si>
    <t>A conto sygdom</t>
  </si>
  <si>
    <t>Sygdomsprocent</t>
  </si>
  <si>
    <t>Årlige udgifter</t>
  </si>
  <si>
    <t>Kompetencefond og "Fra ufaglært til faglært"</t>
  </si>
  <si>
    <t>Pension af tillæg (Weekend/helligdags)</t>
  </si>
  <si>
    <t>Barnets sygedag</t>
  </si>
  <si>
    <t>SPARK og tryghedspuljen</t>
  </si>
  <si>
    <t>Budget ved beregning af tilskud efter servicelovens §§95 og 96.</t>
  </si>
  <si>
    <t>Bemærkninger</t>
  </si>
  <si>
    <t>Grundløn</t>
  </si>
  <si>
    <t>Særtillæg</t>
  </si>
  <si>
    <t>S/H</t>
  </si>
  <si>
    <t>Grundløn samt tillæg i alt</t>
  </si>
  <si>
    <t>Ferie</t>
  </si>
  <si>
    <t>Lovpligtige bidrag</t>
  </si>
  <si>
    <t>Uddannelsesbidrag</t>
  </si>
  <si>
    <t>Barselsfond</t>
  </si>
  <si>
    <t xml:space="preserve">Sygdom </t>
  </si>
  <si>
    <t>APV hjælper timer</t>
  </si>
  <si>
    <t>Efter regning</t>
  </si>
  <si>
    <t>Personaletimer</t>
  </si>
  <si>
    <t>Personalemøder og MUS</t>
  </si>
  <si>
    <t>Praktikplads AUB</t>
  </si>
  <si>
    <t>Særlige tillæg til timeløn, aften-, nat-, lørdags- og søndagstillæg</t>
  </si>
  <si>
    <t>Ferie jf. ferielov evt. inkl. 6. ferie, hvis det gives</t>
  </si>
  <si>
    <t>ATP, AES, AUB, AFU evt. FIB</t>
  </si>
  <si>
    <t>Kr pr km</t>
  </si>
  <si>
    <t>Antal km</t>
  </si>
  <si>
    <t>Kørsel til APV sted. Kilometer</t>
  </si>
  <si>
    <t>Kr pr time</t>
  </si>
  <si>
    <t>Kørsel til APV sted. Tid</t>
  </si>
  <si>
    <t>Lønadministration</t>
  </si>
  <si>
    <t xml:space="preserve">Beregning af Administrationsbidrag </t>
  </si>
  <si>
    <t>Tilskud til arbejdsgiveropgaver (overheadprocent)</t>
  </si>
  <si>
    <t xml:space="preserve">Baggrund for beregning af lønadministration pr. hjælper </t>
  </si>
  <si>
    <t>Beregning til forklaring af antal hjælpere i en gennemsnitsordning</t>
  </si>
  <si>
    <t xml:space="preserve">Med udgangspunkt i erfaring og det forhold, at borgeren har ansvaret for at have tilstrækkeligt med hjælpere </t>
  </si>
  <si>
    <t xml:space="preserve"> i nedenstående model. Modellen har vist sig retvisende som gennemsnitsbetragtning. </t>
  </si>
  <si>
    <t xml:space="preserve">MODEL </t>
  </si>
  <si>
    <t xml:space="preserve">Metode </t>
  </si>
  <si>
    <t xml:space="preserve">Faste hjælpere </t>
  </si>
  <si>
    <t xml:space="preserve">Afløsere/vikar </t>
  </si>
  <si>
    <t>Total hjælper tilknytning i team</t>
  </si>
  <si>
    <t>under 20</t>
  </si>
  <si>
    <t xml:space="preserve">Erfaringsbaseret </t>
  </si>
  <si>
    <t>20-40</t>
  </si>
  <si>
    <t>40-72</t>
  </si>
  <si>
    <t>73+</t>
  </si>
  <si>
    <t xml:space="preserve">"antal timer / 24 + 1 vikar pr. påbegyndt 4 hjælpere" </t>
  </si>
  <si>
    <t xml:space="preserve">beregnet </t>
  </si>
  <si>
    <t>Personaleomsætning beregnet som 30 % inkl. vikar - afrundet efter normale principper</t>
  </si>
  <si>
    <t xml:space="preserve">Beregning af Lønadministrationstakst </t>
  </si>
  <si>
    <t>Kilde for satser:</t>
  </si>
  <si>
    <t>Administration arbejdsgiver</t>
  </si>
  <si>
    <t>Inkl. Administration</t>
  </si>
  <si>
    <t>Administration arbejdsgiver månedlig</t>
  </si>
  <si>
    <t>Samlet udgifter efter regning til a conto</t>
  </si>
  <si>
    <t>Månedlig LØN samt udgifter efter regning til a conto</t>
  </si>
  <si>
    <t>Månedlig ADM til a conto</t>
  </si>
  <si>
    <t>Samlet andre udgifter efter regning</t>
  </si>
  <si>
    <t>Inkl. udgifter efter regning til a conto</t>
  </si>
  <si>
    <t>Inkl andre udg. efter regning</t>
  </si>
  <si>
    <t xml:space="preserve">Efter regning. </t>
  </si>
  <si>
    <t>Sats</t>
  </si>
  <si>
    <t>Antal gange/år</t>
  </si>
  <si>
    <t>Timer/vagt</t>
  </si>
  <si>
    <t>Vederlag ved tilkald i rådighedstjeneste</t>
  </si>
  <si>
    <t>Antal dage/år</t>
  </si>
  <si>
    <t>Ud over vederlag ved tilkald i rådighedstjeneste gives der for den pågældende time sædvanlig løn. Dvs. der er ekstraudgifter ved difference fra rådighedssats til grundløn + eventuelle manglende nat- samt weekendtillæg</t>
  </si>
  <si>
    <t>Vederlag forbliven i tjenesten+ ved AKUT-tilkald</t>
  </si>
  <si>
    <t>Timetabel</t>
  </si>
  <si>
    <t>Type af timer</t>
  </si>
  <si>
    <t>Normtimer</t>
  </si>
  <si>
    <t>Heraf rådighedstimer</t>
  </si>
  <si>
    <t>Puljetimer</t>
  </si>
  <si>
    <t>APV timer</t>
  </si>
  <si>
    <t>Samlet timer årligt</t>
  </si>
  <si>
    <t>Løn inkl. rum gennemsnitlig timepris</t>
  </si>
  <si>
    <t>KL's anbefaling 3,5%</t>
  </si>
  <si>
    <t>Budget beløb i alt til a conto månedligt</t>
  </si>
  <si>
    <t>Heraf Sygdom efter regning</t>
  </si>
  <si>
    <t>Heraf APV udgift efter regning</t>
  </si>
  <si>
    <t>Budget beløb i alt pr måned</t>
  </si>
  <si>
    <t>Løn puljetimer og rådighedstimer er inkl. her.</t>
  </si>
  <si>
    <t>Årligt</t>
  </si>
  <si>
    <t>Beregnet på baggrund af stedtillæg =</t>
  </si>
  <si>
    <t xml:space="preserve">Stedtillæg: </t>
  </si>
  <si>
    <t>Enhed</t>
  </si>
  <si>
    <t>Kr pr enhed</t>
  </si>
  <si>
    <t>Timer</t>
  </si>
  <si>
    <t>Km</t>
  </si>
  <si>
    <t xml:space="preserve">Forsikring: </t>
  </si>
  <si>
    <t>Pensionssatser</t>
  </si>
  <si>
    <t>Pension Grundløn</t>
  </si>
  <si>
    <t>Aftentillæg</t>
  </si>
  <si>
    <t>Nattillæg</t>
  </si>
  <si>
    <t>Lørdagstillæg</t>
  </si>
  <si>
    <t>Søndagstillæg</t>
  </si>
  <si>
    <t>Helligdagstillæg</t>
  </si>
  <si>
    <t>Rådighedsandel</t>
  </si>
  <si>
    <t>Sats/andel</t>
  </si>
  <si>
    <t>Vederlag ved Forbliven i tjenesten</t>
  </si>
  <si>
    <t>Andel pr påbegyndt time</t>
  </si>
  <si>
    <t>DA/LO:</t>
  </si>
  <si>
    <t>1) Helligdage:</t>
  </si>
  <si>
    <t>Feriepenge:</t>
  </si>
  <si>
    <t>Pension:</t>
  </si>
  <si>
    <t>Særtillæg:</t>
  </si>
  <si>
    <t>ATP, AUB, AES, AFU</t>
  </si>
  <si>
    <t>2) Udgifter ved tilkald i rådighedstjeneste:</t>
  </si>
  <si>
    <t>AKUT, AUA og Kompetencefond</t>
  </si>
  <si>
    <t>Vederlag ved Tilkald i Rådighedstjeneste</t>
  </si>
  <si>
    <t>Vederlag ved AKUT tilkald:</t>
  </si>
  <si>
    <t>Barselsfond:</t>
  </si>
  <si>
    <t>Lovpligtige bidrag mm.</t>
  </si>
  <si>
    <t>Andel for timen</t>
  </si>
  <si>
    <t>Overenskomstbestemte satser</t>
  </si>
  <si>
    <t xml:space="preserve"> Forhøjet pensionssats</t>
  </si>
  <si>
    <t>Kr. pr time</t>
  </si>
  <si>
    <t>Lovbestemste satser</t>
  </si>
  <si>
    <t>SOSU-overenskomst</t>
  </si>
  <si>
    <t>* Rummelighed dækker eksempelvis anciennitet, overenskomstmæssige stigninger i løbet af året, eventuelle ekstra særtillæg ved omrokering af timerne til dyrere timer i et mindre omfang.</t>
  </si>
  <si>
    <t>Udgift APV ekstern konsulent</t>
  </si>
  <si>
    <t>Statens takst</t>
  </si>
  <si>
    <t>Andre satser</t>
  </si>
  <si>
    <t>Søn- hell. dage</t>
  </si>
  <si>
    <t>Der regnes altid tillæg pr halve time</t>
  </si>
  <si>
    <t>Løse timer (P-møde, MUS)</t>
  </si>
  <si>
    <t>Timer/tilkald</t>
  </si>
  <si>
    <t>Feriefridage - gives denne?</t>
  </si>
  <si>
    <t>Gennemsnitlige timepris. Uden rummelighed</t>
  </si>
  <si>
    <t>Gennemsnitlig timepris. Med rummelighed</t>
  </si>
  <si>
    <t>Hjælpertimer til APV, inklusiv sociale bidrag</t>
  </si>
  <si>
    <t>Generel pris- og lønstigning, pct.</t>
  </si>
  <si>
    <t>Fraværsprocent</t>
  </si>
  <si>
    <t>Udgift ekstern APV konsulent</t>
  </si>
  <si>
    <t>Når der aflønnes efter SOSU-overenskomt</t>
  </si>
  <si>
    <t>Pension - almindelig eller forhøjet sats?</t>
  </si>
  <si>
    <t>Almindelig pensionsats</t>
  </si>
  <si>
    <t>Hjælpertimer til APV, inkl. sociale bidrag</t>
  </si>
  <si>
    <t>3) Rådighedstillæg</t>
  </si>
  <si>
    <t>I SOSU-overenskomstens arbejdstidsaftale 79.01 §14 gives ikke rådighedstimer fra vagtværelse, kun fra hjælpers egen bopæl, disse afregnes med 1/3 grundløn inkl. evt. kvalifikation. Rådighedstimer fra vagtværelse kan kun gives jf. BPA-HHOK §18, disse afregnes i så fald med 3/4 grundløn inkl. evt. kvalifikation.</t>
  </si>
  <si>
    <t>Resultatet er, at enten kan SOSU-kommuner ikke udmåle rådighedstimer eller også accepteres, at de udmåler jf. BPA-HHOK på dette punkt. Derfor er rådighed her regnet som 3/4.</t>
  </si>
  <si>
    <t>Oversigtsark til kommunens budgetlægning</t>
  </si>
  <si>
    <t>SOSU beregning</t>
  </si>
  <si>
    <t>SOSU-OK</t>
  </si>
  <si>
    <t>Pension jf. overenskomst.</t>
  </si>
  <si>
    <t>Løn inkl. rummelighed</t>
  </si>
  <si>
    <t>Ekskl. rummelighed</t>
  </si>
  <si>
    <t>APV udgift til ekstern konsulent</t>
  </si>
  <si>
    <t xml:space="preserve">Efter regning  </t>
  </si>
  <si>
    <t>Månedlig beløb i alt til a conto inkl. administration og ekskl. sygdom og APV udgift</t>
  </si>
  <si>
    <t>Lønadministration pr. hjælper</t>
  </si>
  <si>
    <t>Årligt tilskud</t>
  </si>
  <si>
    <t>Tilskud i alt</t>
  </si>
  <si>
    <t>Samlet udmåling - vælg overenskomst</t>
  </si>
  <si>
    <r>
      <t>Jf. KL's notat "</t>
    </r>
    <r>
      <rPr>
        <b/>
        <i/>
        <sz val="8"/>
        <color theme="1"/>
        <rFont val="Verdana"/>
        <family val="2"/>
      </rPr>
      <t>Beregning af tilskud til borgerstyret personlig assistance (BPA)</t>
    </r>
    <r>
      <rPr>
        <sz val="8"/>
        <rFont val="Verdana"/>
        <family val="2"/>
      </rPr>
      <t>" afsnit 3.4 fra oktober 2010: "</t>
    </r>
    <r>
      <rPr>
        <i/>
        <sz val="8"/>
        <color theme="1"/>
        <rFont val="Verdana"/>
        <family val="2"/>
      </rPr>
      <t>Model 2: Overheadberegning af tilskud til arbejdsgiveropgaven Kommunen kan beregne tilskuddet til arbejdsgiveropgaven som en fast overhead-procent af tilskuddet til BPA. "</t>
    </r>
  </si>
  <si>
    <r>
      <t>KREVI – Det Kommunale og Regionale Evalueringsinstitut udgav i februar 2011 analysen; ”</t>
    </r>
    <r>
      <rPr>
        <b/>
        <sz val="8"/>
        <color theme="1"/>
        <rFont val="Verdana"/>
        <family val="2"/>
      </rPr>
      <t>Sammenligning af kommunernes administration: To metoder – to resultater</t>
    </r>
    <r>
      <rPr>
        <sz val="8"/>
        <rFont val="Verdana"/>
        <family val="2"/>
      </rPr>
      <t>”.  Af denne analyse fremgår, at ”</t>
    </r>
    <r>
      <rPr>
        <i/>
        <sz val="8"/>
        <color theme="1"/>
        <rFont val="Verdana"/>
        <family val="2"/>
      </rPr>
      <t>på landsplan udgør administrationsudgifter 8,7 % af nettodriftsudgifterne opgjort ud fra regnskabsdata og 9,2 %, hvis vi opgør det med målet for personaledata.</t>
    </r>
    <r>
      <rPr>
        <sz val="8"/>
        <rFont val="Verdana"/>
        <family val="2"/>
      </rPr>
      <t xml:space="preserve">” (p. 16). 
</t>
    </r>
  </si>
  <si>
    <r>
      <t>Jf. KL's notat "</t>
    </r>
    <r>
      <rPr>
        <b/>
        <i/>
        <sz val="8"/>
        <color theme="1"/>
        <rFont val="Verdana"/>
        <family val="2"/>
      </rPr>
      <t>Beregning af tilskud til borgerstyret personlig assistance (BPA)</t>
    </r>
    <r>
      <rPr>
        <sz val="8"/>
        <rFont val="Verdana"/>
        <family val="2"/>
      </rPr>
      <t>" afsnit 3.5 fra oktober 2010: "</t>
    </r>
    <r>
      <rPr>
        <i/>
        <sz val="8"/>
        <color theme="1"/>
        <rFont val="Verdana"/>
        <family val="2"/>
      </rPr>
      <t>Såfremt tilskud til arbejdsgiveropgaven overføres til en forening eller privat virksomhed, er det forudsat at der for BPA-ordninger efter § 96 udmåles 1.643 kr. (2009-priser) årligt pr. hjælper til lønadministration. Dette kommer ud over udmåling til varetagelse af øvrige arbejdsgiveropgaver, jf. afsnit 3.4 ovenfor.</t>
    </r>
    <r>
      <rPr>
        <sz val="8"/>
        <rFont val="Verdana"/>
        <family val="2"/>
      </rPr>
      <t>"</t>
    </r>
  </si>
  <si>
    <t>Ugentlige timer  i ordning</t>
  </si>
  <si>
    <t xml:space="preserve">Personale-omsætning </t>
  </si>
  <si>
    <t xml:space="preserve">Ugentlige timer </t>
  </si>
  <si>
    <t>Beregning af administrationsbidrag</t>
  </si>
  <si>
    <t>Forudsætninger fra overenskomster og lovgivning</t>
  </si>
  <si>
    <t>beregnet</t>
  </si>
  <si>
    <t xml:space="preserve">Årsfremskrivning </t>
  </si>
  <si>
    <t>OBS: Indtast/vælg egne værdier i de BLÅ FELTER</t>
  </si>
  <si>
    <r>
      <t>Rådighed</t>
    </r>
    <r>
      <rPr>
        <vertAlign val="superscript"/>
        <sz val="8"/>
        <rFont val="Verdana"/>
        <family val="2"/>
      </rPr>
      <t>3</t>
    </r>
  </si>
  <si>
    <t>APV priser</t>
  </si>
  <si>
    <t>Rummelighed</t>
  </si>
  <si>
    <t>Administration arbejdsgiver årlig, overheadprocent</t>
  </si>
  <si>
    <t>Antal fuldtidsansatte</t>
  </si>
  <si>
    <t>Vederlag ved forbliven i tjenesten, jf. arb.tidsaftale 79.01 §11, stk 5</t>
  </si>
  <si>
    <t>Vederlag ved AKUT-tilkald, jf. arb.tidsaftale 79.01 §9, stk. 2.</t>
  </si>
  <si>
    <r>
      <t>Vederlag ved tilkald i rådighedstjeneste</t>
    </r>
    <r>
      <rPr>
        <b/>
        <vertAlign val="superscript"/>
        <sz val="8"/>
        <rFont val="Verdana"/>
        <family val="2"/>
      </rPr>
      <t>2</t>
    </r>
    <r>
      <rPr>
        <b/>
        <sz val="8"/>
        <rFont val="Verdana"/>
        <family val="2"/>
      </rPr>
      <t>, jf. arb.tidsaftale 79.01 §14,stk. 2</t>
    </r>
  </si>
  <si>
    <t>Lønmodtagernes Feriemidler – administrationsbidrag</t>
  </si>
  <si>
    <t>Lønmodtagernes Feriemidler</t>
  </si>
  <si>
    <t>ansat i ordningen til at sikre vikardækning, så anbefaler branchen borgerne at ansætte hjælpere med udgangspunkt</t>
  </si>
  <si>
    <t>Budget periode</t>
  </si>
  <si>
    <t>Fra dato</t>
  </si>
  <si>
    <t>Til dato</t>
  </si>
  <si>
    <t>Periodemæssig udgift i alt til budget</t>
  </si>
  <si>
    <t>Antal uger i periode</t>
  </si>
  <si>
    <t>Antal uger fra starttidspunkt og et år frem</t>
  </si>
  <si>
    <t>Antal timer pr periode</t>
  </si>
  <si>
    <t>Laves APV</t>
  </si>
  <si>
    <t>Beregnet på baggrund af antal uger i periode.</t>
  </si>
  <si>
    <t>Budget beløb i alt periodemæssigt</t>
  </si>
  <si>
    <t>på Dansk Erhvervs hjemmeside til at beregne overheadprocenten præcist svarende til de konkrete forhold.</t>
  </si>
  <si>
    <r>
      <t xml:space="preserve">Brug beregneren </t>
    </r>
    <r>
      <rPr>
        <i/>
        <u/>
        <sz val="8"/>
        <color theme="10"/>
        <rFont val="Verdana"/>
        <family val="2"/>
      </rPr>
      <t xml:space="preserve">"Beregning af administrationsbidrag BPA" </t>
    </r>
  </si>
  <si>
    <t>Vælg</t>
  </si>
  <si>
    <t>Hjælp til at fastsætte overheadprocent.</t>
  </si>
  <si>
    <t>Administrationsbidrag</t>
  </si>
  <si>
    <t>Antal timer/periode</t>
  </si>
  <si>
    <t>BPA-HHOK</t>
  </si>
  <si>
    <t>BPA-Handicaphjælper-overenskomst</t>
  </si>
  <si>
    <t>Når der aflønnes efter BPA-Handicaphjælper-overenskomst</t>
  </si>
  <si>
    <t>Vederlag ved forbliven i tjenesten, jf. BPA-HHOK §7, stk. 5</t>
  </si>
  <si>
    <t>Vederlag ved AKUT-tilkald, jf. BPA-HHOK §7, stk. 6</t>
  </si>
  <si>
    <r>
      <t>Vederlag ved tilkald i rådighedstjeneste</t>
    </r>
    <r>
      <rPr>
        <b/>
        <vertAlign val="superscript"/>
        <sz val="8"/>
        <rFont val="Verdana"/>
        <family val="2"/>
      </rPr>
      <t>2</t>
    </r>
    <r>
      <rPr>
        <b/>
        <sz val="8"/>
        <rFont val="Verdana"/>
        <family val="2"/>
      </rPr>
      <t>, jf. BPA-HHOK §18</t>
    </r>
  </si>
  <si>
    <t>BPA-HH beregning</t>
  </si>
  <si>
    <t>9 helligdage ved BPA-HHOK og ved SOSU-OK 11,5 dage inkl. særlige fridage</t>
  </si>
  <si>
    <t>BPA-HHOK: DA/LO. SOSU-OK: AKUT-bidrag</t>
  </si>
  <si>
    <t xml:space="preserve">OBS: Indtast/vælg egne værdier i de BLÅ FELTER i de 4 første ark. </t>
  </si>
  <si>
    <t>Få overblikket i det sidste ark "Budgetark"</t>
  </si>
  <si>
    <t>Kr pr ansat</t>
  </si>
  <si>
    <t>Lønadministration (hvis 0 kr., så er omkostningen beregnet i særskilt beregner)</t>
  </si>
  <si>
    <r>
      <t xml:space="preserve">Lønadministration - anvendes detaljeret beregner eller overhead? </t>
    </r>
    <r>
      <rPr>
        <b/>
        <vertAlign val="superscript"/>
        <sz val="8"/>
        <rFont val="Verdana"/>
        <family val="2"/>
      </rPr>
      <t>3</t>
    </r>
  </si>
  <si>
    <t>Ved beregning af tilskud til administrationsudgifter med den særkskilte detaljerede beregningsmodel udarbejdet af DE, i stedet for benyttelse af overheadmodel til beregning af administrationshonorar, medtages lønadministration ikke i ovenstående, i det lønadministration i stedet er medtaget i beregningsmodellen for administrationsudgifter.</t>
  </si>
  <si>
    <t>4) Model for administrationshonorar:</t>
  </si>
  <si>
    <t>3) Model for administrationshonorar:</t>
  </si>
  <si>
    <r>
      <t xml:space="preserve">Lønadministration - anvendes detaljeret beregner eller overhead? </t>
    </r>
    <r>
      <rPr>
        <b/>
        <vertAlign val="superscript"/>
        <sz val="8"/>
        <rFont val="Verdana"/>
        <family val="2"/>
      </rPr>
      <t>4</t>
    </r>
  </si>
  <si>
    <t>3)</t>
  </si>
  <si>
    <t>Kommunenavn</t>
  </si>
  <si>
    <t>Område nr</t>
  </si>
  <si>
    <t>Albertslund</t>
  </si>
  <si>
    <t>Allerød</t>
  </si>
  <si>
    <t>Assens</t>
  </si>
  <si>
    <t>Ballerup</t>
  </si>
  <si>
    <t>Brøndby</t>
  </si>
  <si>
    <t>Brønderslev</t>
  </si>
  <si>
    <t>Christiansø</t>
  </si>
  <si>
    <t>Dragør</t>
  </si>
  <si>
    <t>Egedal</t>
  </si>
  <si>
    <t>Esbjerg</t>
  </si>
  <si>
    <t>Fanø</t>
  </si>
  <si>
    <t>Selvvalgt fra kommunens side, reelt 0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</si>
  <si>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</si>
  <si>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</si>
  <si>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</si>
  <si>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</si>
  <si>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</si>
  <si>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</si>
  <si>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</si>
  <si>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</si>
  <si>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</si>
  <si>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</si>
  <si>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</si>
  <si>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</si>
  <si>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</si>
  <si>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</si>
  <si>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</si>
  <si>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</si>
  <si>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</si>
  <si>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</si>
  <si>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</si>
  <si>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</si>
  <si>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</si>
  <si>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</si>
  <si>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</si>
  <si>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</si>
  <si>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</si>
  <si>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</si>
  <si>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</si>
  <si>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</si>
  <si>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</si>
  <si>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</si>
  <si>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</si>
  <si>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</si>
  <si>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</si>
  <si>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</si>
  <si>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</si>
  <si>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</si>
  <si>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</si>
  <si>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</si>
  <si>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</si>
  <si>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</si>
  <si>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</si>
  <si>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</si>
  <si>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</si>
  <si>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</si>
  <si>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</si>
  <si>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</si>
  <si>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</si>
  <si>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</si>
  <si>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</si>
  <si>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</si>
  <si>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</si>
  <si>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</si>
  <si>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</si>
  <si>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</si>
  <si>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</si>
  <si>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</si>
  <si>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</si>
  <si>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</si>
  <si>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</si>
  <si>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</si>
  <si>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</si>
  <si>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</si>
  <si>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</si>
  <si>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</si>
  <si>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</si>
  <si>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</si>
  <si>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</si>
  <si>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</si>
  <si>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</si>
  <si>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</si>
  <si>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</si>
  <si>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</si>
  <si>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</si>
  <si>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</si>
  <si>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</si>
  <si>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</si>
  <si>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</si>
  <si>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</si>
  <si>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</si>
  <si>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</si>
  <si>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</si>
  <si>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Vælg kommune her</t>
  </si>
  <si>
    <t>Ærø</t>
  </si>
  <si>
    <t>Aabenraa</t>
  </si>
  <si>
    <t>Aalborg</t>
  </si>
  <si>
    <t>Aarhus</t>
  </si>
  <si>
    <t>Lønsatser timelønninger</t>
  </si>
  <si>
    <t>Løntrin</t>
  </si>
  <si>
    <t>Pr</t>
  </si>
  <si>
    <t>Stedtillæg</t>
  </si>
  <si>
    <t>Handicaphjælper med SSH</t>
  </si>
  <si>
    <t>Handicaphjælper med SSH 4 års erfaring</t>
  </si>
  <si>
    <t>Handicaphjælper med SSA</t>
  </si>
  <si>
    <t>Handicaphjælper SSA 10 års erfaring</t>
  </si>
  <si>
    <t>Medtages i Budgetark</t>
  </si>
  <si>
    <t>Indsæt enten årligt beløb eller beløb pr time</t>
  </si>
  <si>
    <t>Ja</t>
  </si>
  <si>
    <t>Udgift</t>
  </si>
  <si>
    <t>Årlig udgift</t>
  </si>
  <si>
    <t>København</t>
  </si>
  <si>
    <t>Pristals-reguleret lønadm.takst</t>
  </si>
  <si>
    <t>Tryghedspulje</t>
  </si>
  <si>
    <t>Uddannelsesløft</t>
  </si>
  <si>
    <t>https://www.kl.dk/okonomi-og-administration/okonomi-og-styring/kommunal-oekonomi-a-z/</t>
  </si>
  <si>
    <t>Rummelighed jf. KL * ved grundløn som løntrin 11</t>
  </si>
  <si>
    <t>Rummelighedsprocent</t>
  </si>
  <si>
    <t>1. juledag, 2. juledag, Nytårsdag, Skærtorsdag, Langfredag, 2. Påskedag, Kristi Himmelfart og 2.Pinsedag</t>
  </si>
  <si>
    <t>8 dage</t>
  </si>
  <si>
    <t>10,5 dage</t>
  </si>
  <si>
    <t>4) Engangsvederlag</t>
  </si>
  <si>
    <t>Begge engangsvederlag beregnes og udbetales forholdsmæssigt i forhold til handicaphjælperens beskæftigelsesgrad.</t>
  </si>
  <si>
    <t>Social- og sundhedshjælpere ansat pr. 1. juni 2024, har med lønnen for juni 2024 ret til et engangsvederlag på kr. 1.962,60.</t>
  </si>
  <si>
    <t>Social- og sundhedsassistenter ansat pr. 1. juni 2024, har med lønnen for juni 2024 ret til et engangsvederlag på kr. 2.098,27.</t>
  </si>
  <si>
    <t>5) Engangsvederlag</t>
  </si>
  <si>
    <t>Handicaphjælper grund- og erfaringsløn</t>
  </si>
  <si>
    <t>Handicaphjælper SSA 7 års erfaring</t>
  </si>
  <si>
    <t>Handicaphjælper med SSA 4 års erfaring</t>
  </si>
  <si>
    <t xml:space="preserve">Handicaphjælper SSH 11 års </t>
  </si>
  <si>
    <t>Handicaphjælper med SSH 7 års erfaring og SSA grundløn</t>
  </si>
  <si>
    <t>4 års erfaring</t>
  </si>
  <si>
    <t>7 års erfaring</t>
  </si>
  <si>
    <t>11 års erfaring</t>
  </si>
  <si>
    <t>Ufaglært</t>
  </si>
  <si>
    <t>SSH-aflønning</t>
  </si>
  <si>
    <t>SSA-aflønning</t>
  </si>
  <si>
    <t>10 års erfaring</t>
  </si>
  <si>
    <t>0 års erfaring</t>
  </si>
  <si>
    <t>SSAløn</t>
  </si>
  <si>
    <t>SSHløn</t>
  </si>
  <si>
    <t>Vælg dette løntrin i F8</t>
  </si>
  <si>
    <t>SSH-løn</t>
  </si>
  <si>
    <t>SSA-løn</t>
  </si>
  <si>
    <t xml:space="preserve">Vælg tillæg iht. anciennitet, hvis der skal aflønnes som SSH eller SSA </t>
  </si>
  <si>
    <t>Grundtimepris tillæg</t>
  </si>
  <si>
    <t>Grundtimepris</t>
  </si>
  <si>
    <t>a. 0 års erfaring</t>
  </si>
  <si>
    <t>b. 4 års erfaring</t>
  </si>
  <si>
    <t>c. 7 års erfaring</t>
  </si>
  <si>
    <t>d. 11 års erfaring</t>
  </si>
  <si>
    <t>d. 10 års erfaring</t>
  </si>
  <si>
    <t>b.  års erfaring</t>
  </si>
  <si>
    <t>Udgifter efter regning</t>
  </si>
  <si>
    <t>Som udgangspunkt vælges timepris (trin 13) inkl. stedtillæg. Hvis der i bevilling gives højere løntrin, skal dette afspejles i timeprisen.</t>
  </si>
  <si>
    <t>Sats pr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</si>
</sst>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r.&quot;_-;\-* #,##0.00\ &quot;kr.&quot;_-;_-* &quot;-&quot;??\ &quot;kr.&quot;_-;_-@_-"/>
    <numFmt numFmtId="164" formatCode="_ &quot;kr.&quot;\ * #,##0.00_ ;_ &quot;kr.&quot;\ * \-#,##0.00_ ;_ &quot;kr.&quot;\ * &quot;-&quot;??_ ;_ @_ "/>
    <numFmt numFmtId="165" formatCode="_ * #,##0.00_ ;_ * \-#,##0.00_ ;_ * &quot;-&quot;??_ ;_ @_ "/>
    <numFmt numFmtId="166" formatCode="_(* #,##0.00_);_(* \(#,##0.00\);_(* &quot;-&quot;??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0.0000"/>
  </numFmts>
  <fonts count="43" x14ac:knownFonts="1"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  <font>
      <b/>
      <vertAlign val="superscript"/>
      <sz val="9"/>
      <name val="Verdana"/>
      <family val="2"/>
    </font>
    <font>
      <sz val="8"/>
      <name val="Verdana"/>
      <family val="2"/>
    </font>
    <font>
      <b/>
      <u/>
      <sz val="8"/>
      <name val="Verdana"/>
      <family val="2"/>
    </font>
    <font>
      <b/>
      <sz val="16"/>
      <color indexed="10"/>
      <name val="Verdana"/>
      <family val="2"/>
    </font>
    <font>
      <sz val="10"/>
      <color indexed="10"/>
      <name val="Verdana"/>
      <family val="2"/>
    </font>
    <font>
      <b/>
      <sz val="12"/>
      <name val="Verdana"/>
      <family val="2"/>
    </font>
    <font>
      <b/>
      <u/>
      <sz val="10"/>
      <name val="Verdana"/>
      <family val="2"/>
    </font>
    <font>
      <sz val="10"/>
      <color theme="2"/>
      <name val="Verdana"/>
      <family val="2"/>
    </font>
    <font>
      <sz val="10"/>
      <color theme="0" tint="-0.14999847407452621"/>
      <name val="Verdana"/>
      <family val="2"/>
    </font>
    <font>
      <b/>
      <vertAlign val="superscript"/>
      <sz val="8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Times New Roman"/>
      <family val="1"/>
    </font>
    <font>
      <u/>
      <sz val="10"/>
      <color theme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name val="Verdana"/>
      <family val="2"/>
    </font>
    <font>
      <sz val="7"/>
      <name val="Verdana"/>
      <family val="2"/>
    </font>
    <font>
      <sz val="7.5"/>
      <name val="Verdana"/>
      <family val="2"/>
    </font>
    <font>
      <b/>
      <sz val="12"/>
      <color indexed="10"/>
      <name val="Verdana"/>
      <family val="2"/>
    </font>
    <font>
      <b/>
      <sz val="14"/>
      <name val="Verdana"/>
      <family val="2"/>
    </font>
    <font>
      <b/>
      <sz val="14"/>
      <color theme="1"/>
      <name val="Verdana"/>
      <family val="2"/>
    </font>
    <font>
      <b/>
      <sz val="16"/>
      <name val="Verdana"/>
      <family val="2"/>
    </font>
    <font>
      <b/>
      <u/>
      <sz val="8"/>
      <color theme="1"/>
      <name val="Verdana"/>
      <family val="2"/>
    </font>
    <font>
      <b/>
      <sz val="8"/>
      <color theme="1"/>
      <name val="Verdana"/>
      <family val="2"/>
    </font>
    <font>
      <b/>
      <i/>
      <u/>
      <sz val="8"/>
      <color theme="1"/>
      <name val="Verdana"/>
      <family val="2"/>
    </font>
    <font>
      <b/>
      <i/>
      <sz val="8"/>
      <color theme="1"/>
      <name val="Verdana"/>
      <family val="2"/>
    </font>
    <font>
      <i/>
      <sz val="8"/>
      <color theme="1"/>
      <name val="Verdana"/>
      <family val="2"/>
    </font>
    <font>
      <u/>
      <sz val="8"/>
      <color theme="10"/>
      <name val="Verdana"/>
      <family val="2"/>
    </font>
    <font>
      <sz val="8"/>
      <color theme="1"/>
      <name val="Verdana"/>
      <family val="2"/>
    </font>
    <font>
      <b/>
      <sz val="11"/>
      <color rgb="FFFFFF00"/>
      <name val="Calibri"/>
      <family val="2"/>
      <scheme val="minor"/>
    </font>
    <font>
      <vertAlign val="superscript"/>
      <sz val="8"/>
      <name val="Verdana"/>
      <family val="2"/>
    </font>
    <font>
      <i/>
      <u/>
      <sz val="8"/>
      <color theme="10"/>
      <name val="Verdana"/>
      <family val="2"/>
    </font>
    <font>
      <sz val="8"/>
      <name val="Verdan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4" fontId="2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364">
    <xf numFmtId="0" fontId="0" fillId="0" borderId="0" xfId="0"/>
    <xf numFmtId="0" fontId="31" fillId="0" borderId="0" xfId="0" applyFont="1"/>
    <xf numFmtId="0" fontId="8" fillId="0" borderId="0" xfId="0" applyFont="1"/>
    <xf numFmtId="0" fontId="6" fillId="0" borderId="0" xfId="0" applyFont="1"/>
    <xf numFmtId="0" fontId="32" fillId="0" borderId="40" xfId="0" applyFont="1" applyBorder="1"/>
    <xf numFmtId="0" fontId="8" fillId="0" borderId="41" xfId="0" applyFont="1" applyBorder="1"/>
    <xf numFmtId="0" fontId="8" fillId="0" borderId="6" xfId="0" applyFont="1" applyBorder="1"/>
    <xf numFmtId="0" fontId="32" fillId="0" borderId="12" xfId="0" applyFont="1" applyBorder="1"/>
    <xf numFmtId="0" fontId="33" fillId="0" borderId="13" xfId="0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5" applyFont="1" applyBorder="1" applyProtection="1"/>
    <xf numFmtId="0" fontId="8" fillId="0" borderId="13" xfId="0" applyFont="1" applyBorder="1"/>
    <xf numFmtId="44" fontId="8" fillId="0" borderId="13" xfId="0" applyNumberFormat="1" applyFont="1" applyBorder="1"/>
    <xf numFmtId="0" fontId="8" fillId="0" borderId="20" xfId="0" applyFont="1" applyBorder="1"/>
    <xf numFmtId="164" fontId="8" fillId="0" borderId="20" xfId="5" applyFont="1" applyBorder="1" applyProtection="1"/>
    <xf numFmtId="44" fontId="8" fillId="0" borderId="19" xfId="0" applyNumberFormat="1" applyFont="1" applyBorder="1"/>
    <xf numFmtId="0" fontId="32" fillId="0" borderId="42" xfId="0" applyFont="1" applyBorder="1"/>
    <xf numFmtId="0" fontId="6" fillId="0" borderId="43" xfId="0" applyFont="1" applyBorder="1"/>
    <xf numFmtId="164" fontId="6" fillId="0" borderId="43" xfId="5" applyFont="1" applyBorder="1" applyProtection="1"/>
    <xf numFmtId="44" fontId="6" fillId="0" borderId="44" xfId="0" applyNumberFormat="1" applyFont="1" applyBorder="1"/>
    <xf numFmtId="4" fontId="8" fillId="0" borderId="0" xfId="0" applyNumberFormat="1" applyFont="1"/>
    <xf numFmtId="164" fontId="8" fillId="0" borderId="0" xfId="5" applyFont="1" applyProtection="1"/>
    <xf numFmtId="0" fontId="34" fillId="0" borderId="0" xfId="0" applyFont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35" fillId="0" borderId="0" xfId="0" applyFont="1"/>
    <xf numFmtId="0" fontId="8" fillId="0" borderId="0" xfId="0" quotePrefix="1" applyFont="1"/>
    <xf numFmtId="0" fontId="33" fillId="0" borderId="0" xfId="0" applyFont="1"/>
    <xf numFmtId="0" fontId="33" fillId="0" borderId="25" xfId="0" applyFont="1" applyBorder="1" applyAlignment="1">
      <alignment horizontal="center" wrapText="1"/>
    </xf>
    <xf numFmtId="0" fontId="33" fillId="0" borderId="50" xfId="0" applyFont="1" applyBorder="1" applyAlignment="1">
      <alignment horizontal="center" wrapText="1"/>
    </xf>
    <xf numFmtId="0" fontId="33" fillId="0" borderId="35" xfId="0" applyFont="1" applyBorder="1" applyAlignment="1">
      <alignment horizontal="center" wrapText="1"/>
    </xf>
    <xf numFmtId="2" fontId="8" fillId="9" borderId="51" xfId="0" applyNumberFormat="1" applyFont="1" applyFill="1" applyBorder="1" applyAlignment="1">
      <alignment horizontal="center" wrapText="1"/>
    </xf>
    <xf numFmtId="0" fontId="8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33" fillId="0" borderId="52" xfId="0" applyFont="1" applyBorder="1" applyAlignment="1">
      <alignment wrapText="1"/>
    </xf>
    <xf numFmtId="0" fontId="33" fillId="0" borderId="20" xfId="0" applyFont="1" applyBorder="1" applyAlignment="1">
      <alignment wrapText="1"/>
    </xf>
    <xf numFmtId="0" fontId="33" fillId="0" borderId="20" xfId="0" applyFont="1" applyBorder="1" applyAlignment="1">
      <alignment horizontal="center" wrapText="1"/>
    </xf>
    <xf numFmtId="0" fontId="33" fillId="0" borderId="21" xfId="0" applyFont="1" applyBorder="1" applyAlignment="1">
      <alignment horizontal="center" wrapText="1"/>
    </xf>
    <xf numFmtId="0" fontId="33" fillId="0" borderId="19" xfId="0" applyFont="1" applyBorder="1" applyAlignment="1">
      <alignment horizontal="center" wrapText="1"/>
    </xf>
    <xf numFmtId="0" fontId="8" fillId="0" borderId="12" xfId="0" applyFont="1" applyBorder="1"/>
    <xf numFmtId="0" fontId="8" fillId="0" borderId="0" xfId="0" applyFont="1" applyAlignment="1">
      <alignment horizontal="center"/>
    </xf>
    <xf numFmtId="1" fontId="8" fillId="0" borderId="49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0" fontId="8" fillId="0" borderId="12" xfId="0" quotePrefix="1" applyFont="1" applyBorder="1"/>
    <xf numFmtId="0" fontId="8" fillId="0" borderId="52" xfId="0" quotePrefix="1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2" xfId="0" applyFont="1" applyBorder="1"/>
    <xf numFmtId="0" fontId="8" fillId="0" borderId="43" xfId="0" applyFont="1" applyBorder="1"/>
    <xf numFmtId="0" fontId="8" fillId="0" borderId="44" xfId="0" applyFont="1" applyBorder="1"/>
    <xf numFmtId="0" fontId="8" fillId="0" borderId="17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164" fontId="8" fillId="0" borderId="8" xfId="5" applyFont="1" applyFill="1" applyBorder="1" applyAlignment="1" applyProtection="1">
      <alignment horizontal="center" wrapText="1"/>
    </xf>
    <xf numFmtId="1" fontId="8" fillId="0" borderId="17" xfId="1" applyNumberFormat="1" applyFont="1" applyFill="1" applyBorder="1" applyAlignment="1" applyProtection="1">
      <alignment horizontal="center"/>
    </xf>
    <xf numFmtId="169" fontId="8" fillId="0" borderId="1" xfId="0" applyNumberFormat="1" applyFont="1" applyBorder="1" applyAlignment="1">
      <alignment horizontal="center"/>
    </xf>
    <xf numFmtId="164" fontId="8" fillId="0" borderId="8" xfId="5" applyFont="1" applyFill="1" applyBorder="1" applyProtection="1"/>
    <xf numFmtId="0" fontId="33" fillId="8" borderId="0" xfId="0" applyFont="1" applyFill="1" applyProtection="1">
      <protection locked="0"/>
    </xf>
    <xf numFmtId="10" fontId="8" fillId="8" borderId="0" xfId="0" applyNumberFormat="1" applyFont="1" applyFill="1" applyProtection="1">
      <protection locked="0"/>
    </xf>
    <xf numFmtId="0" fontId="12" fillId="0" borderId="20" xfId="0" applyFont="1" applyBorder="1"/>
    <xf numFmtId="0" fontId="6" fillId="0" borderId="24" xfId="0" applyFont="1" applyBorder="1"/>
    <xf numFmtId="0" fontId="8" fillId="3" borderId="6" xfId="0" applyFont="1" applyFill="1" applyBorder="1"/>
    <xf numFmtId="0" fontId="8" fillId="2" borderId="9" xfId="0" applyFont="1" applyFill="1" applyBorder="1" applyAlignment="1">
      <alignment wrapText="1"/>
    </xf>
    <xf numFmtId="10" fontId="8" fillId="0" borderId="10" xfId="1" applyNumberFormat="1" applyFont="1" applyBorder="1" applyProtection="1"/>
    <xf numFmtId="0" fontId="8" fillId="2" borderId="14" xfId="0" applyFont="1" applyFill="1" applyBorder="1" applyAlignment="1">
      <alignment wrapText="1"/>
    </xf>
    <xf numFmtId="10" fontId="8" fillId="0" borderId="15" xfId="0" applyNumberFormat="1" applyFont="1" applyBorder="1"/>
    <xf numFmtId="0" fontId="6" fillId="0" borderId="46" xfId="0" applyFont="1" applyBorder="1"/>
    <xf numFmtId="0" fontId="8" fillId="3" borderId="26" xfId="0" applyFont="1" applyFill="1" applyBorder="1"/>
    <xf numFmtId="14" fontId="8" fillId="3" borderId="31" xfId="0" applyNumberFormat="1" applyFont="1" applyFill="1" applyBorder="1"/>
    <xf numFmtId="4" fontId="8" fillId="0" borderId="32" xfId="0" applyNumberFormat="1" applyFont="1" applyBorder="1"/>
    <xf numFmtId="165" fontId="8" fillId="0" borderId="0" xfId="0" applyNumberFormat="1" applyFont="1"/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center"/>
    </xf>
    <xf numFmtId="14" fontId="8" fillId="3" borderId="48" xfId="0" applyNumberFormat="1" applyFont="1" applyFill="1" applyBorder="1"/>
    <xf numFmtId="10" fontId="8" fillId="0" borderId="32" xfId="0" applyNumberFormat="1" applyFont="1" applyBorder="1"/>
    <xf numFmtId="14" fontId="8" fillId="0" borderId="0" xfId="0" applyNumberFormat="1" applyFont="1"/>
    <xf numFmtId="10" fontId="8" fillId="0" borderId="0" xfId="0" applyNumberFormat="1" applyFont="1"/>
    <xf numFmtId="0" fontId="8" fillId="3" borderId="27" xfId="0" applyFont="1" applyFill="1" applyBorder="1"/>
    <xf numFmtId="0" fontId="8" fillId="3" borderId="28" xfId="0" applyFont="1" applyFill="1" applyBorder="1"/>
    <xf numFmtId="0" fontId="8" fillId="3" borderId="2" xfId="0" applyFont="1" applyFill="1" applyBorder="1"/>
    <xf numFmtId="166" fontId="8" fillId="0" borderId="1" xfId="1" applyFont="1" applyBorder="1" applyProtection="1"/>
    <xf numFmtId="168" fontId="8" fillId="0" borderId="10" xfId="1" applyNumberFormat="1" applyFont="1" applyBorder="1" applyProtection="1"/>
    <xf numFmtId="0" fontId="8" fillId="3" borderId="7" xfId="0" applyFont="1" applyFill="1" applyBorder="1"/>
    <xf numFmtId="166" fontId="8" fillId="0" borderId="10" xfId="1" applyFont="1" applyBorder="1" applyProtection="1"/>
    <xf numFmtId="0" fontId="8" fillId="3" borderId="36" xfId="0" applyFont="1" applyFill="1" applyBorder="1"/>
    <xf numFmtId="166" fontId="8" fillId="0" borderId="29" xfId="1" applyFont="1" applyBorder="1" applyProtection="1"/>
    <xf numFmtId="166" fontId="8" fillId="0" borderId="30" xfId="1" applyFont="1" applyBorder="1" applyProtection="1"/>
    <xf numFmtId="166" fontId="8" fillId="0" borderId="35" xfId="1" applyFont="1" applyBorder="1" applyProtection="1"/>
    <xf numFmtId="166" fontId="8" fillId="0" borderId="18" xfId="1" applyFont="1" applyBorder="1" applyProtection="1"/>
    <xf numFmtId="10" fontId="8" fillId="0" borderId="33" xfId="0" applyNumberFormat="1" applyFont="1" applyBorder="1"/>
    <xf numFmtId="10" fontId="8" fillId="0" borderId="34" xfId="0" applyNumberFormat="1" applyFont="1" applyBorder="1"/>
    <xf numFmtId="0" fontId="27" fillId="0" borderId="0" xfId="0" applyFont="1"/>
    <xf numFmtId="4" fontId="8" fillId="0" borderId="15" xfId="0" applyNumberFormat="1" applyFont="1" applyBorder="1"/>
    <xf numFmtId="0" fontId="8" fillId="3" borderId="6" xfId="0" applyFont="1" applyFill="1" applyBorder="1" applyAlignment="1">
      <alignment wrapText="1"/>
    </xf>
    <xf numFmtId="0" fontId="8" fillId="2" borderId="2" xfId="0" applyFont="1" applyFill="1" applyBorder="1"/>
    <xf numFmtId="0" fontId="8" fillId="2" borderId="7" xfId="0" applyFont="1" applyFill="1" applyBorder="1"/>
    <xf numFmtId="0" fontId="8" fillId="2" borderId="38" xfId="0" applyFont="1" applyFill="1" applyBorder="1"/>
    <xf numFmtId="4" fontId="38" fillId="8" borderId="10" xfId="0" applyNumberFormat="1" applyFont="1" applyFill="1" applyBorder="1" applyProtection="1">
      <protection locked="0"/>
    </xf>
    <xf numFmtId="0" fontId="29" fillId="0" borderId="0" xfId="0" applyFont="1"/>
    <xf numFmtId="0" fontId="11" fillId="0" borderId="0" xfId="0" applyFont="1"/>
    <xf numFmtId="0" fontId="4" fillId="0" borderId="0" xfId="0" applyFont="1"/>
    <xf numFmtId="0" fontId="28" fillId="0" borderId="0" xfId="0" applyFont="1"/>
    <xf numFmtId="0" fontId="12" fillId="0" borderId="0" xfId="0" applyFont="1"/>
    <xf numFmtId="0" fontId="5" fillId="0" borderId="0" xfId="0" applyFont="1"/>
    <xf numFmtId="3" fontId="4" fillId="0" borderId="0" xfId="1" applyNumberFormat="1" applyFont="1" applyFill="1" applyBorder="1" applyAlignment="1" applyProtection="1">
      <alignment horizontal="center"/>
    </xf>
    <xf numFmtId="14" fontId="14" fillId="0" borderId="0" xfId="0" applyNumberFormat="1" applyFont="1"/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166" fontId="8" fillId="2" borderId="1" xfId="1" applyFont="1" applyFill="1" applyBorder="1" applyProtection="1"/>
    <xf numFmtId="166" fontId="8" fillId="0" borderId="0" xfId="1" applyFont="1" applyFill="1" applyBorder="1" applyProtection="1"/>
    <xf numFmtId="2" fontId="4" fillId="0" borderId="0" xfId="0" applyNumberFormat="1" applyFont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166" fontId="8" fillId="2" borderId="8" xfId="1" applyFont="1" applyFill="1" applyBorder="1" applyProtection="1"/>
    <xf numFmtId="166" fontId="8" fillId="2" borderId="9" xfId="1" applyFont="1" applyFill="1" applyBorder="1" applyProtection="1"/>
    <xf numFmtId="166" fontId="8" fillId="2" borderId="10" xfId="1" applyFont="1" applyFill="1" applyBorder="1" applyProtection="1"/>
    <xf numFmtId="166" fontId="8" fillId="0" borderId="11" xfId="0" applyNumberFormat="1" applyFont="1" applyBorder="1"/>
    <xf numFmtId="166" fontId="4" fillId="0" borderId="1" xfId="1" applyFont="1" applyBorder="1" applyProtection="1"/>
    <xf numFmtId="166" fontId="4" fillId="0" borderId="10" xfId="1" applyFont="1" applyBorder="1" applyProtection="1"/>
    <xf numFmtId="17" fontId="8" fillId="2" borderId="1" xfId="0" applyNumberFormat="1" applyFont="1" applyFill="1" applyBorder="1"/>
    <xf numFmtId="165" fontId="4" fillId="0" borderId="0" xfId="0" applyNumberFormat="1" applyFont="1"/>
    <xf numFmtId="166" fontId="8" fillId="0" borderId="0" xfId="1" applyFont="1" applyBorder="1" applyProtection="1"/>
    <xf numFmtId="166" fontId="8" fillId="0" borderId="12" xfId="1" applyFont="1" applyBorder="1" applyProtection="1"/>
    <xf numFmtId="166" fontId="8" fillId="0" borderId="13" xfId="1" applyFont="1" applyBorder="1" applyProtection="1"/>
    <xf numFmtId="166" fontId="4" fillId="0" borderId="0" xfId="0" applyNumberFormat="1" applyFont="1"/>
    <xf numFmtId="49" fontId="4" fillId="0" borderId="0" xfId="0" applyNumberFormat="1" applyFont="1"/>
    <xf numFmtId="166" fontId="8" fillId="2" borderId="14" xfId="1" applyFont="1" applyFill="1" applyBorder="1" applyProtection="1"/>
    <xf numFmtId="166" fontId="8" fillId="2" borderId="15" xfId="1" applyFont="1" applyFill="1" applyBorder="1" applyProtection="1"/>
    <xf numFmtId="0" fontId="6" fillId="0" borderId="9" xfId="0" applyFont="1" applyBorder="1"/>
    <xf numFmtId="0" fontId="8" fillId="0" borderId="16" xfId="0" applyFont="1" applyBorder="1"/>
    <xf numFmtId="166" fontId="8" fillId="0" borderId="17" xfId="1" applyFont="1" applyBorder="1" applyProtection="1"/>
    <xf numFmtId="166" fontId="8" fillId="0" borderId="0" xfId="3" applyFont="1" applyBorder="1" applyProtection="1"/>
    <xf numFmtId="0" fontId="6" fillId="0" borderId="12" xfId="0" applyFont="1" applyBorder="1"/>
    <xf numFmtId="0" fontId="6" fillId="2" borderId="9" xfId="0" applyFont="1" applyFill="1" applyBorder="1"/>
    <xf numFmtId="0" fontId="8" fillId="2" borderId="16" xfId="0" applyFont="1" applyFill="1" applyBorder="1"/>
    <xf numFmtId="166" fontId="8" fillId="2" borderId="17" xfId="1" applyFont="1" applyFill="1" applyBorder="1" applyProtection="1"/>
    <xf numFmtId="167" fontId="8" fillId="2" borderId="1" xfId="1" applyNumberFormat="1" applyFont="1" applyFill="1" applyBorder="1" applyProtection="1"/>
    <xf numFmtId="9" fontId="8" fillId="0" borderId="0" xfId="1" applyNumberFormat="1" applyFont="1" applyFill="1" applyBorder="1" applyProtection="1"/>
    <xf numFmtId="166" fontId="8" fillId="0" borderId="8" xfId="1" applyFont="1" applyBorder="1" applyProtection="1"/>
    <xf numFmtId="3" fontId="8" fillId="0" borderId="0" xfId="1" applyNumberFormat="1" applyFont="1" applyFill="1" applyBorder="1" applyProtection="1"/>
    <xf numFmtId="167" fontId="8" fillId="0" borderId="0" xfId="1" applyNumberFormat="1" applyFont="1" applyFill="1" applyBorder="1" applyProtection="1"/>
    <xf numFmtId="166" fontId="8" fillId="0" borderId="13" xfId="1" applyFont="1" applyFill="1" applyBorder="1" applyProtection="1"/>
    <xf numFmtId="166" fontId="8" fillId="0" borderId="10" xfId="1" applyFont="1" applyFill="1" applyBorder="1" applyProtection="1"/>
    <xf numFmtId="10" fontId="8" fillId="0" borderId="0" xfId="1" applyNumberFormat="1" applyFont="1" applyFill="1" applyBorder="1" applyProtection="1"/>
    <xf numFmtId="10" fontId="8" fillId="2" borderId="1" xfId="1" applyNumberFormat="1" applyFont="1" applyFill="1" applyBorder="1" applyProtection="1"/>
    <xf numFmtId="166" fontId="8" fillId="0" borderId="18" xfId="1" applyFont="1" applyFill="1" applyBorder="1" applyProtection="1"/>
    <xf numFmtId="168" fontId="8" fillId="0" borderId="1" xfId="1" applyNumberFormat="1" applyFont="1" applyBorder="1" applyProtection="1"/>
    <xf numFmtId="0" fontId="4" fillId="0" borderId="0" xfId="0" applyFont="1" applyAlignment="1">
      <alignment wrapText="1"/>
    </xf>
    <xf numFmtId="168" fontId="8" fillId="0" borderId="1" xfId="1" applyNumberFormat="1" applyFont="1" applyFill="1" applyBorder="1" applyProtection="1"/>
    <xf numFmtId="0" fontId="13" fillId="0" borderId="0" xfId="0" applyFont="1"/>
    <xf numFmtId="0" fontId="6" fillId="0" borderId="8" xfId="0" applyFont="1" applyBorder="1"/>
    <xf numFmtId="166" fontId="8" fillId="0" borderId="16" xfId="1" applyFont="1" applyFill="1" applyBorder="1" applyProtection="1"/>
    <xf numFmtId="0" fontId="8" fillId="0" borderId="19" xfId="0" applyFont="1" applyBorder="1"/>
    <xf numFmtId="0" fontId="8" fillId="2" borderId="20" xfId="0" applyFont="1" applyFill="1" applyBorder="1"/>
    <xf numFmtId="166" fontId="8" fillId="2" borderId="21" xfId="1" applyFont="1" applyFill="1" applyBorder="1" applyProtection="1"/>
    <xf numFmtId="166" fontId="8" fillId="4" borderId="1" xfId="1" applyFont="1" applyFill="1" applyBorder="1" applyProtection="1"/>
    <xf numFmtId="4" fontId="8" fillId="4" borderId="1" xfId="1" applyNumberFormat="1" applyFont="1" applyFill="1" applyBorder="1" applyProtection="1"/>
    <xf numFmtId="14" fontId="4" fillId="0" borderId="0" xfId="0" applyNumberFormat="1" applyFont="1"/>
    <xf numFmtId="4" fontId="8" fillId="0" borderId="0" xfId="1" applyNumberFormat="1" applyFont="1" applyFill="1" applyBorder="1" applyProtection="1"/>
    <xf numFmtId="0" fontId="6" fillId="2" borderId="8" xfId="0" applyFont="1" applyFill="1" applyBorder="1"/>
    <xf numFmtId="167" fontId="8" fillId="0" borderId="0" xfId="1" applyNumberFormat="1" applyFont="1" applyFill="1" applyBorder="1" applyAlignment="1" applyProtection="1">
      <alignment wrapText="1"/>
    </xf>
    <xf numFmtId="166" fontId="8" fillId="0" borderId="0" xfId="1" applyFont="1" applyFill="1" applyBorder="1" applyAlignment="1" applyProtection="1">
      <alignment wrapText="1"/>
    </xf>
    <xf numFmtId="0" fontId="6" fillId="2" borderId="16" xfId="0" applyFont="1" applyFill="1" applyBorder="1"/>
    <xf numFmtId="166" fontId="6" fillId="2" borderId="17" xfId="1" applyFont="1" applyFill="1" applyBorder="1" applyProtection="1"/>
    <xf numFmtId="166" fontId="4" fillId="0" borderId="0" xfId="1" applyFont="1" applyBorder="1" applyProtection="1"/>
    <xf numFmtId="166" fontId="4" fillId="0" borderId="17" xfId="1" applyFont="1" applyBorder="1" applyProtection="1"/>
    <xf numFmtId="4" fontId="8" fillId="2" borderId="1" xfId="1" applyNumberFormat="1" applyFont="1" applyFill="1" applyBorder="1" applyProtection="1"/>
    <xf numFmtId="0" fontId="6" fillId="0" borderId="14" xfId="0" applyFont="1" applyBorder="1"/>
    <xf numFmtId="0" fontId="8" fillId="0" borderId="23" xfId="0" applyFont="1" applyBorder="1"/>
    <xf numFmtId="166" fontId="6" fillId="0" borderId="24" xfId="1" applyFont="1" applyBorder="1" applyProtection="1"/>
    <xf numFmtId="168" fontId="6" fillId="0" borderId="0" xfId="1" applyNumberFormat="1" applyFont="1" applyBorder="1" applyProtection="1"/>
    <xf numFmtId="0" fontId="8" fillId="5" borderId="0" xfId="0" applyFont="1" applyFill="1"/>
    <xf numFmtId="168" fontId="6" fillId="5" borderId="0" xfId="1" applyNumberFormat="1" applyFont="1" applyFill="1" applyBorder="1" applyProtection="1"/>
    <xf numFmtId="166" fontId="6" fillId="0" borderId="0" xfId="1" applyFont="1" applyFill="1" applyBorder="1" applyProtection="1"/>
    <xf numFmtId="0" fontId="4" fillId="5" borderId="0" xfId="0" applyFont="1" applyFill="1"/>
    <xf numFmtId="166" fontId="4" fillId="5" borderId="0" xfId="0" applyNumberFormat="1" applyFont="1" applyFill="1"/>
    <xf numFmtId="166" fontId="6" fillId="0" borderId="0" xfId="0" applyNumberFormat="1" applyFont="1"/>
    <xf numFmtId="10" fontId="8" fillId="0" borderId="1" xfId="0" applyNumberFormat="1" applyFont="1" applyBorder="1"/>
    <xf numFmtId="166" fontId="6" fillId="5" borderId="0" xfId="0" applyNumberFormat="1" applyFont="1" applyFill="1"/>
    <xf numFmtId="168" fontId="6" fillId="0" borderId="0" xfId="0" applyNumberFormat="1" applyFont="1"/>
    <xf numFmtId="166" fontId="6" fillId="2" borderId="1" xfId="1" applyFont="1" applyFill="1" applyBorder="1" applyProtection="1"/>
    <xf numFmtId="37" fontId="6" fillId="0" borderId="0" xfId="0" applyNumberFormat="1" applyFont="1"/>
    <xf numFmtId="0" fontId="6" fillId="5" borderId="0" xfId="0" applyFont="1" applyFill="1"/>
    <xf numFmtId="37" fontId="6" fillId="5" borderId="0" xfId="0" applyNumberFormat="1" applyFont="1" applyFill="1"/>
    <xf numFmtId="166" fontId="8" fillId="0" borderId="1" xfId="1" applyFont="1" applyFill="1" applyBorder="1" applyProtection="1"/>
    <xf numFmtId="0" fontId="6" fillId="0" borderId="50" xfId="0" applyFont="1" applyBorder="1"/>
    <xf numFmtId="166" fontId="6" fillId="0" borderId="50" xfId="1" applyFont="1" applyFill="1" applyBorder="1" applyProtection="1"/>
    <xf numFmtId="166" fontId="8" fillId="0" borderId="50" xfId="1" applyFont="1" applyFill="1" applyBorder="1" applyProtection="1"/>
    <xf numFmtId="4" fontId="8" fillId="0" borderId="50" xfId="1" applyNumberFormat="1" applyFont="1" applyFill="1" applyBorder="1" applyProtection="1"/>
    <xf numFmtId="166" fontId="8" fillId="0" borderId="50" xfId="1" applyFont="1" applyBorder="1" applyProtection="1"/>
    <xf numFmtId="166" fontId="4" fillId="0" borderId="50" xfId="1" applyFont="1" applyBorder="1" applyProtection="1"/>
    <xf numFmtId="0" fontId="9" fillId="0" borderId="0" xfId="0" applyFont="1"/>
    <xf numFmtId="166" fontId="4" fillId="0" borderId="0" xfId="1" applyFont="1" applyProtection="1"/>
    <xf numFmtId="166" fontId="8" fillId="0" borderId="0" xfId="0" applyNumberFormat="1" applyFont="1"/>
    <xf numFmtId="166" fontId="4" fillId="0" borderId="0" xfId="1" applyFont="1" applyFill="1" applyProtection="1"/>
    <xf numFmtId="0" fontId="4" fillId="8" borderId="8" xfId="0" applyFont="1" applyFill="1" applyBorder="1" applyProtection="1">
      <protection locked="0"/>
    </xf>
    <xf numFmtId="0" fontId="4" fillId="8" borderId="17" xfId="0" applyFont="1" applyFill="1" applyBorder="1" applyProtection="1">
      <protection locked="0"/>
    </xf>
    <xf numFmtId="0" fontId="4" fillId="8" borderId="16" xfId="0" applyFont="1" applyFill="1" applyBorder="1" applyProtection="1">
      <protection locked="0"/>
    </xf>
    <xf numFmtId="14" fontId="8" fillId="8" borderId="22" xfId="0" applyNumberFormat="1" applyFont="1" applyFill="1" applyBorder="1" applyProtection="1">
      <protection locked="0"/>
    </xf>
    <xf numFmtId="166" fontId="8" fillId="8" borderId="1" xfId="1" applyFont="1" applyFill="1" applyBorder="1" applyProtection="1">
      <protection locked="0"/>
    </xf>
    <xf numFmtId="167" fontId="8" fillId="8" borderId="1" xfId="1" applyNumberFormat="1" applyFont="1" applyFill="1" applyBorder="1" applyProtection="1">
      <protection locked="0"/>
    </xf>
    <xf numFmtId="166" fontId="8" fillId="8" borderId="17" xfId="1" applyFont="1" applyFill="1" applyBorder="1" applyProtection="1">
      <protection locked="0"/>
    </xf>
    <xf numFmtId="4" fontId="8" fillId="8" borderId="1" xfId="1" applyNumberFormat="1" applyFont="1" applyFill="1" applyBorder="1" applyProtection="1">
      <protection locked="0"/>
    </xf>
    <xf numFmtId="10" fontId="8" fillId="8" borderId="1" xfId="1" applyNumberFormat="1" applyFont="1" applyFill="1" applyBorder="1" applyProtection="1">
      <protection locked="0"/>
    </xf>
    <xf numFmtId="0" fontId="30" fillId="0" borderId="0" xfId="0" applyFont="1"/>
    <xf numFmtId="0" fontId="10" fillId="0" borderId="0" xfId="0" applyFont="1"/>
    <xf numFmtId="14" fontId="15" fillId="0" borderId="0" xfId="0" applyNumberFormat="1" applyFont="1"/>
    <xf numFmtId="2" fontId="8" fillId="4" borderId="1" xfId="1" applyNumberFormat="1" applyFont="1" applyFill="1" applyBorder="1" applyProtection="1"/>
    <xf numFmtId="166" fontId="6" fillId="0" borderId="1" xfId="1" applyFont="1" applyBorder="1" applyProtection="1"/>
    <xf numFmtId="2" fontId="8" fillId="2" borderId="1" xfId="0" applyNumberFormat="1" applyFont="1" applyFill="1" applyBorder="1"/>
    <xf numFmtId="2" fontId="4" fillId="2" borderId="1" xfId="0" applyNumberFormat="1" applyFont="1" applyFill="1" applyBorder="1"/>
    <xf numFmtId="166" fontId="6" fillId="0" borderId="0" xfId="1" applyFont="1" applyBorder="1" applyProtection="1"/>
    <xf numFmtId="166" fontId="8" fillId="8" borderId="17" xfId="1" applyFont="1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3" fontId="4" fillId="3" borderId="1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0" fillId="6" borderId="29" xfId="0" applyFont="1" applyFill="1" applyBorder="1" applyAlignment="1">
      <alignment horizontal="center"/>
    </xf>
    <xf numFmtId="0" fontId="17" fillId="6" borderId="29" xfId="0" applyFont="1" applyFill="1" applyBorder="1" applyAlignment="1">
      <alignment wrapText="1"/>
    </xf>
    <xf numFmtId="0" fontId="17" fillId="6" borderId="8" xfId="0" applyFont="1" applyFill="1" applyBorder="1"/>
    <xf numFmtId="4" fontId="17" fillId="0" borderId="1" xfId="0" applyNumberFormat="1" applyFont="1" applyBorder="1"/>
    <xf numFmtId="0" fontId="17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6" borderId="17" xfId="0" applyFont="1" applyFill="1" applyBorder="1" applyAlignment="1">
      <alignment wrapText="1"/>
    </xf>
    <xf numFmtId="4" fontId="17" fillId="0" borderId="8" xfId="0" applyNumberFormat="1" applyFont="1" applyBorder="1"/>
    <xf numFmtId="0" fontId="17" fillId="0" borderId="35" xfId="0" applyFont="1" applyBorder="1" applyAlignment="1">
      <alignment wrapText="1"/>
    </xf>
    <xf numFmtId="2" fontId="8" fillId="0" borderId="25" xfId="0" applyNumberFormat="1" applyFont="1" applyBorder="1"/>
    <xf numFmtId="0" fontId="17" fillId="6" borderId="35" xfId="0" applyFont="1" applyFill="1" applyBorder="1" applyAlignment="1">
      <alignment wrapText="1"/>
    </xf>
    <xf numFmtId="0" fontId="17" fillId="6" borderId="25" xfId="0" applyFont="1" applyFill="1" applyBorder="1" applyAlignment="1">
      <alignment wrapText="1"/>
    </xf>
    <xf numFmtId="0" fontId="17" fillId="0" borderId="45" xfId="0" applyFont="1" applyBorder="1" applyAlignment="1">
      <alignment wrapText="1"/>
    </xf>
    <xf numFmtId="0" fontId="17" fillId="6" borderId="17" xfId="0" applyFont="1" applyFill="1" applyBorder="1"/>
    <xf numFmtId="4" fontId="17" fillId="0" borderId="45" xfId="0" applyNumberFormat="1" applyFont="1" applyBorder="1"/>
    <xf numFmtId="0" fontId="18" fillId="6" borderId="8" xfId="0" applyFont="1" applyFill="1" applyBorder="1"/>
    <xf numFmtId="4" fontId="18" fillId="0" borderId="1" xfId="0" applyNumberFormat="1" applyFont="1" applyBorder="1"/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6" borderId="17" xfId="0" applyFont="1" applyFill="1" applyBorder="1" applyAlignment="1">
      <alignment wrapText="1"/>
    </xf>
    <xf numFmtId="4" fontId="18" fillId="0" borderId="8" xfId="0" applyNumberFormat="1" applyFont="1" applyBorder="1"/>
    <xf numFmtId="4" fontId="18" fillId="0" borderId="45" xfId="0" applyNumberFormat="1" applyFont="1" applyBorder="1"/>
    <xf numFmtId="0" fontId="20" fillId="6" borderId="17" xfId="0" applyFont="1" applyFill="1" applyBorder="1" applyAlignment="1">
      <alignment wrapText="1"/>
    </xf>
    <xf numFmtId="4" fontId="20" fillId="0" borderId="8" xfId="0" applyNumberFormat="1" applyFont="1" applyBorder="1"/>
    <xf numFmtId="4" fontId="20" fillId="0" borderId="45" xfId="0" applyNumberFormat="1" applyFont="1" applyBorder="1"/>
    <xf numFmtId="4" fontId="20" fillId="0" borderId="1" xfId="0" applyNumberFormat="1" applyFont="1" applyBorder="1"/>
    <xf numFmtId="0" fontId="20" fillId="0" borderId="0" xfId="0" applyFont="1" applyAlignment="1">
      <alignment wrapText="1"/>
    </xf>
    <xf numFmtId="4" fontId="20" fillId="0" borderId="0" xfId="0" applyNumberFormat="1" applyFont="1"/>
    <xf numFmtId="0" fontId="19" fillId="6" borderId="8" xfId="0" applyFont="1" applyFill="1" applyBorder="1"/>
    <xf numFmtId="4" fontId="19" fillId="0" borderId="1" xfId="0" applyNumberFormat="1" applyFont="1" applyBorder="1"/>
    <xf numFmtId="0" fontId="19" fillId="0" borderId="1" xfId="0" applyFont="1" applyBorder="1" applyAlignment="1">
      <alignment wrapText="1"/>
    </xf>
    <xf numFmtId="4" fontId="19" fillId="0" borderId="0" xfId="0" applyNumberFormat="1" applyFont="1" applyAlignment="1">
      <alignment wrapText="1"/>
    </xf>
    <xf numFmtId="0" fontId="20" fillId="6" borderId="8" xfId="0" applyFont="1" applyFill="1" applyBorder="1"/>
    <xf numFmtId="0" fontId="20" fillId="0" borderId="1" xfId="0" applyFont="1" applyBorder="1" applyAlignment="1">
      <alignment wrapText="1"/>
    </xf>
    <xf numFmtId="0" fontId="23" fillId="0" borderId="0" xfId="0" applyFont="1"/>
    <xf numFmtId="0" fontId="19" fillId="0" borderId="0" xfId="0" applyFont="1" applyAlignment="1">
      <alignment wrapText="1"/>
    </xf>
    <xf numFmtId="0" fontId="24" fillId="0" borderId="0" xfId="0" applyFont="1"/>
    <xf numFmtId="0" fontId="5" fillId="0" borderId="0" xfId="0" applyFont="1" applyAlignment="1">
      <alignment wrapText="1"/>
    </xf>
    <xf numFmtId="0" fontId="25" fillId="0" borderId="0" xfId="0" applyFont="1"/>
    <xf numFmtId="0" fontId="37" fillId="0" borderId="0" xfId="6" applyFont="1" applyAlignment="1" applyProtection="1">
      <alignment vertical="top" wrapText="1"/>
    </xf>
    <xf numFmtId="0" fontId="6" fillId="0" borderId="57" xfId="0" applyFont="1" applyBorder="1"/>
    <xf numFmtId="0" fontId="8" fillId="3" borderId="42" xfId="0" applyFont="1" applyFill="1" applyBorder="1"/>
    <xf numFmtId="2" fontId="8" fillId="0" borderId="44" xfId="0" applyNumberFormat="1" applyFont="1" applyBorder="1"/>
    <xf numFmtId="0" fontId="8" fillId="3" borderId="5" xfId="0" applyFont="1" applyFill="1" applyBorder="1"/>
    <xf numFmtId="1" fontId="8" fillId="0" borderId="35" xfId="1" applyNumberFormat="1" applyFont="1" applyFill="1" applyBorder="1" applyAlignment="1" applyProtection="1">
      <alignment horizontal="center"/>
    </xf>
    <xf numFmtId="166" fontId="8" fillId="8" borderId="17" xfId="1" applyFont="1" applyFill="1" applyBorder="1" applyAlignment="1" applyProtection="1">
      <alignment vertical="center"/>
      <protection locked="0"/>
    </xf>
    <xf numFmtId="0" fontId="6" fillId="0" borderId="2" xfId="0" applyFont="1" applyBorder="1"/>
    <xf numFmtId="14" fontId="8" fillId="4" borderId="4" xfId="0" applyNumberFormat="1" applyFont="1" applyFill="1" applyBorder="1"/>
    <xf numFmtId="14" fontId="8" fillId="4" borderId="5" xfId="0" applyNumberFormat="1" applyFont="1" applyFill="1" applyBorder="1"/>
    <xf numFmtId="0" fontId="8" fillId="4" borderId="7" xfId="0" applyFont="1" applyFill="1" applyBorder="1"/>
    <xf numFmtId="4" fontId="8" fillId="0" borderId="16" xfId="0" applyNumberFormat="1" applyFont="1" applyBorder="1" applyAlignment="1">
      <alignment horizontal="center"/>
    </xf>
    <xf numFmtId="4" fontId="8" fillId="0" borderId="10" xfId="0" applyNumberFormat="1" applyFont="1" applyBorder="1" applyAlignment="1">
      <alignment horizontal="center"/>
    </xf>
    <xf numFmtId="0" fontId="8" fillId="4" borderId="7" xfId="0" applyFont="1" applyFill="1" applyBorder="1" applyAlignment="1">
      <alignment wrapText="1"/>
    </xf>
    <xf numFmtId="4" fontId="8" fillId="0" borderId="8" xfId="0" applyNumberFormat="1" applyFont="1" applyBorder="1" applyAlignment="1">
      <alignment horizontal="center"/>
    </xf>
    <xf numFmtId="0" fontId="6" fillId="4" borderId="14" xfId="0" applyFont="1" applyFill="1" applyBorder="1" applyAlignment="1">
      <alignment wrapText="1"/>
    </xf>
    <xf numFmtId="4" fontId="38" fillId="0" borderId="15" xfId="0" applyNumberFormat="1" applyFont="1" applyBorder="1" applyProtection="1">
      <protection locked="0"/>
    </xf>
    <xf numFmtId="4" fontId="8" fillId="0" borderId="10" xfId="1" applyNumberFormat="1" applyFont="1" applyBorder="1" applyProtection="1"/>
    <xf numFmtId="4" fontId="8" fillId="0" borderId="1" xfId="1" applyNumberFormat="1" applyFont="1" applyBorder="1" applyProtection="1"/>
    <xf numFmtId="0" fontId="8" fillId="3" borderId="29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4" fontId="8" fillId="0" borderId="33" xfId="1" applyNumberFormat="1" applyFont="1" applyBorder="1" applyProtection="1"/>
    <xf numFmtId="4" fontId="8" fillId="0" borderId="15" xfId="1" applyNumberFormat="1" applyFont="1" applyBorder="1" applyProtection="1"/>
    <xf numFmtId="0" fontId="6" fillId="0" borderId="48" xfId="0" applyFont="1" applyBorder="1"/>
    <xf numFmtId="0" fontId="6" fillId="0" borderId="58" xfId="0" applyFont="1" applyBorder="1"/>
    <xf numFmtId="0" fontId="8" fillId="3" borderId="59" xfId="0" applyFont="1" applyFill="1" applyBorder="1"/>
    <xf numFmtId="14" fontId="6" fillId="0" borderId="60" xfId="0" applyNumberFormat="1" applyFont="1" applyBorder="1"/>
    <xf numFmtId="168" fontId="4" fillId="0" borderId="0" xfId="0" applyNumberFormat="1" applyFont="1"/>
    <xf numFmtId="4" fontId="38" fillId="8" borderId="34" xfId="0" applyNumberFormat="1" applyFont="1" applyFill="1" applyBorder="1" applyProtection="1">
      <protection locked="0"/>
    </xf>
    <xf numFmtId="4" fontId="38" fillId="8" borderId="33" xfId="0" applyNumberFormat="1" applyFont="1" applyFill="1" applyBorder="1" applyProtection="1">
      <protection locked="0"/>
    </xf>
    <xf numFmtId="14" fontId="8" fillId="3" borderId="48" xfId="0" applyNumberFormat="1" applyFont="1" applyFill="1" applyBorder="1" applyAlignment="1">
      <alignment wrapText="1"/>
    </xf>
    <xf numFmtId="170" fontId="4" fillId="0" borderId="0" xfId="0" applyNumberFormat="1" applyFont="1"/>
    <xf numFmtId="1" fontId="8" fillId="8" borderId="1" xfId="0" applyNumberFormat="1" applyFont="1" applyFill="1" applyBorder="1" applyAlignment="1" applyProtection="1">
      <alignment horizontal="center"/>
      <protection locked="0"/>
    </xf>
    <xf numFmtId="3" fontId="8" fillId="0" borderId="1" xfId="1" applyNumberFormat="1" applyFont="1" applyFill="1" applyBorder="1" applyAlignment="1" applyProtection="1">
      <alignment horizontal="center"/>
    </xf>
    <xf numFmtId="2" fontId="8" fillId="0" borderId="1" xfId="0" applyNumberFormat="1" applyFont="1" applyBorder="1"/>
    <xf numFmtId="169" fontId="8" fillId="0" borderId="29" xfId="5" applyNumberFormat="1" applyFont="1" applyFill="1" applyBorder="1" applyAlignment="1" applyProtection="1">
      <alignment horizontal="center"/>
    </xf>
    <xf numFmtId="169" fontId="8" fillId="0" borderId="29" xfId="0" applyNumberFormat="1" applyFont="1" applyBorder="1" applyAlignment="1">
      <alignment horizontal="center"/>
    </xf>
    <xf numFmtId="0" fontId="22" fillId="0" borderId="0" xfId="6"/>
    <xf numFmtId="0" fontId="8" fillId="3" borderId="38" xfId="0" applyFont="1" applyFill="1" applyBorder="1" applyAlignment="1">
      <alignment wrapText="1"/>
    </xf>
    <xf numFmtId="3" fontId="8" fillId="0" borderId="1" xfId="1" applyNumberFormat="1" applyFont="1" applyBorder="1" applyProtection="1"/>
    <xf numFmtId="3" fontId="8" fillId="0" borderId="33" xfId="1" applyNumberFormat="1" applyFont="1" applyBorder="1" applyProtection="1"/>
    <xf numFmtId="166" fontId="6" fillId="5" borderId="0" xfId="1" applyFont="1" applyFill="1" applyBorder="1" applyProtection="1"/>
    <xf numFmtId="14" fontId="8" fillId="8" borderId="1" xfId="0" applyNumberFormat="1" applyFont="1" applyFill="1" applyBorder="1" applyProtection="1">
      <protection locked="0"/>
    </xf>
    <xf numFmtId="166" fontId="8" fillId="0" borderId="0" xfId="1" applyFont="1" applyFill="1" applyBorder="1" applyAlignment="1"/>
    <xf numFmtId="0" fontId="8" fillId="3" borderId="28" xfId="0" applyFont="1" applyFill="1" applyBorder="1" applyAlignment="1">
      <alignment horizontal="center"/>
    </xf>
    <xf numFmtId="4" fontId="8" fillId="0" borderId="10" xfId="1" applyNumberFormat="1" applyFont="1" applyBorder="1" applyAlignment="1" applyProtection="1">
      <alignment horizontal="right"/>
    </xf>
    <xf numFmtId="1" fontId="8" fillId="8" borderId="1" xfId="0" applyNumberFormat="1" applyFont="1" applyFill="1" applyBorder="1" applyAlignment="1" applyProtection="1">
      <alignment horizontal="center" wrapText="1"/>
      <protection locked="0"/>
    </xf>
    <xf numFmtId="0" fontId="6" fillId="0" borderId="61" xfId="0" applyFont="1" applyBorder="1"/>
    <xf numFmtId="2" fontId="8" fillId="0" borderId="15" xfId="0" applyNumberFormat="1" applyFont="1" applyBorder="1" applyAlignment="1">
      <alignment horizontal="right"/>
    </xf>
    <xf numFmtId="0" fontId="8" fillId="3" borderId="28" xfId="0" applyFont="1" applyFill="1" applyBorder="1" applyAlignment="1">
      <alignment horizontal="center" wrapText="1"/>
    </xf>
    <xf numFmtId="3" fontId="8" fillId="0" borderId="10" xfId="1" applyNumberFormat="1" applyFont="1" applyBorder="1" applyAlignment="1" applyProtection="1">
      <alignment horizontal="right"/>
    </xf>
    <xf numFmtId="0" fontId="8" fillId="2" borderId="17" xfId="1" applyNumberFormat="1" applyFont="1" applyFill="1" applyBorder="1" applyProtection="1"/>
    <xf numFmtId="1" fontId="42" fillId="0" borderId="35" xfId="1" applyNumberFormat="1" applyFont="1" applyFill="1" applyBorder="1" applyAlignment="1" applyProtection="1">
      <alignment horizontal="center"/>
    </xf>
    <xf numFmtId="169" fontId="42" fillId="0" borderId="29" xfId="0" applyNumberFormat="1" applyFont="1" applyBorder="1" applyAlignment="1">
      <alignment horizontal="center"/>
    </xf>
    <xf numFmtId="164" fontId="42" fillId="0" borderId="25" xfId="5" applyFont="1" applyFill="1" applyBorder="1" applyProtection="1"/>
    <xf numFmtId="0" fontId="5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9" fillId="8" borderId="40" xfId="0" applyFont="1" applyFill="1" applyBorder="1" applyAlignment="1">
      <alignment horizontal="center"/>
    </xf>
    <xf numFmtId="0" fontId="39" fillId="8" borderId="41" xfId="0" applyFont="1" applyFill="1" applyBorder="1" applyAlignment="1">
      <alignment horizontal="center"/>
    </xf>
    <xf numFmtId="0" fontId="39" fillId="8" borderId="6" xfId="0" applyFont="1" applyFill="1" applyBorder="1" applyAlignment="1">
      <alignment horizontal="center"/>
    </xf>
    <xf numFmtId="0" fontId="39" fillId="8" borderId="42" xfId="0" applyFont="1" applyFill="1" applyBorder="1" applyAlignment="1">
      <alignment horizontal="center"/>
    </xf>
    <xf numFmtId="0" fontId="39" fillId="8" borderId="43" xfId="0" applyFont="1" applyFill="1" applyBorder="1" applyAlignment="1">
      <alignment horizontal="center"/>
    </xf>
    <xf numFmtId="0" fontId="39" fillId="8" borderId="44" xfId="0" applyFont="1" applyFill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41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39" fillId="8" borderId="53" xfId="0" applyFont="1" applyFill="1" applyBorder="1" applyAlignment="1">
      <alignment horizontal="center"/>
    </xf>
    <xf numFmtId="0" fontId="39" fillId="8" borderId="54" xfId="0" applyFont="1" applyFill="1" applyBorder="1" applyAlignment="1">
      <alignment horizontal="center"/>
    </xf>
    <xf numFmtId="0" fontId="39" fillId="8" borderId="55" xfId="0" applyFont="1" applyFill="1" applyBorder="1" applyAlignment="1">
      <alignment horizontal="center"/>
    </xf>
    <xf numFmtId="0" fontId="6" fillId="0" borderId="46" xfId="0" applyFont="1" applyBorder="1"/>
    <xf numFmtId="0" fontId="6" fillId="0" borderId="47" xfId="0" applyFont="1" applyBorder="1"/>
    <xf numFmtId="0" fontId="6" fillId="0" borderId="37" xfId="0" applyFont="1" applyBorder="1"/>
    <xf numFmtId="0" fontId="8" fillId="3" borderId="38" xfId="0" applyFont="1" applyFill="1" applyBorder="1" applyAlignment="1">
      <alignment horizontal="left"/>
    </xf>
    <xf numFmtId="0" fontId="8" fillId="3" borderId="33" xfId="0" applyFont="1" applyFill="1" applyBorder="1" applyAlignment="1">
      <alignment horizontal="left"/>
    </xf>
    <xf numFmtId="0" fontId="6" fillId="7" borderId="0" xfId="0" applyFont="1" applyFill="1" applyAlignment="1">
      <alignment horizontal="center"/>
    </xf>
    <xf numFmtId="0" fontId="8" fillId="3" borderId="32" xfId="0" applyFont="1" applyFill="1" applyBorder="1" applyAlignment="1">
      <alignment horizontal="left"/>
    </xf>
    <xf numFmtId="2" fontId="6" fillId="0" borderId="39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3" borderId="26" xfId="0" applyFont="1" applyFill="1" applyBorder="1" applyAlignment="1">
      <alignment horizontal="left"/>
    </xf>
    <xf numFmtId="0" fontId="8" fillId="3" borderId="27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35" xfId="0" applyFont="1" applyFill="1" applyBorder="1" applyAlignment="1">
      <alignment horizontal="left"/>
    </xf>
    <xf numFmtId="0" fontId="8" fillId="3" borderId="25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39" xfId="0" applyFont="1" applyFill="1" applyBorder="1" applyAlignment="1">
      <alignment horizontal="left"/>
    </xf>
    <xf numFmtId="0" fontId="26" fillId="0" borderId="43" xfId="0" applyFont="1" applyBorder="1" applyAlignment="1">
      <alignment horizontal="center"/>
    </xf>
    <xf numFmtId="0" fontId="39" fillId="8" borderId="46" xfId="0" applyFont="1" applyFill="1" applyBorder="1" applyAlignment="1">
      <alignment horizontal="center"/>
    </xf>
    <xf numFmtId="0" fontId="39" fillId="8" borderId="47" xfId="0" applyFont="1" applyFill="1" applyBorder="1" applyAlignment="1">
      <alignment horizontal="center"/>
    </xf>
    <xf numFmtId="0" fontId="39" fillId="8" borderId="5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0" fontId="6" fillId="2" borderId="1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0" fontId="8" fillId="8" borderId="8" xfId="0" applyFont="1" applyFill="1" applyBorder="1" applyProtection="1">
      <protection locked="0"/>
    </xf>
    <xf numFmtId="0" fontId="8" fillId="8" borderId="17" xfId="0" applyFont="1" applyFill="1" applyBorder="1" applyProtection="1">
      <protection locked="0"/>
    </xf>
    <xf numFmtId="0" fontId="6" fillId="2" borderId="1" xfId="0" applyFont="1" applyFill="1" applyBorder="1" applyAlignment="1">
      <alignment wrapText="1"/>
    </xf>
    <xf numFmtId="0" fontId="8" fillId="5" borderId="0" xfId="0" applyFont="1" applyFill="1" applyAlignment="1">
      <alignment horizontal="right"/>
    </xf>
    <xf numFmtId="0" fontId="8" fillId="5" borderId="49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</cellXfs>
  <cellStyles count="7">
    <cellStyle name="Komma" xfId="1" builtinId="3"/>
    <cellStyle name="Komma 2" xfId="2" xr:uid="{00000000-0005-0000-0000-000001000000}"/>
    <cellStyle name="Komma 3" xfId="3" xr:uid="{00000000-0005-0000-0000-000002000000}"/>
    <cellStyle name="Link" xfId="6" builtinId="8"/>
    <cellStyle name="Normal" xfId="0" builtinId="0"/>
    <cellStyle name="Normal 2" xfId="4" xr:uid="{00000000-0005-0000-0000-000005000000}"/>
    <cellStyle name="Valuta" xfId="5" builtinId="4"/>
  </cellStyles>
  <dxfs count="7">
    <dxf>
      <font>
        <strike val="0"/>
        <outline val="0"/>
        <shadow val="0"/>
        <u val="none"/>
        <vertAlign val="baseline"/>
        <sz val="8"/>
        <color auto="1"/>
        <name val="Verdana"/>
        <scheme val="none"/>
      </font>
      <numFmt numFmtId="164" formatCode="_ &quot;kr.&quot;\ * #,##0.00_ ;_ &quot;kr.&quot;\ * \-#,##0.00_ ;_ &quot;kr.&quot;\ * &quot;-&quot;??_ ;_ @_ 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169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8"/>
        <color auto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Verdana"/>
        <scheme val="none"/>
      </font>
      <alignment horizontal="center" vertical="bottom" textRotation="0" wrapText="1" 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anskerhverv.sharepoint.com/sites/DE-LnogOverenskomst/Delte%20dokumenter/Overenskomst/Beregnere/BPA/BPA%20L&#248;n%20Beregner%20April%202024%20-%20&#229;ben%20version%20inkl.%20engangsvederlag%20fra%20LOBPA.xlsx" TargetMode="External"/><Relationship Id="rId1" Type="http://schemas.openxmlformats.org/officeDocument/2006/relationships/externalLinkPath" Target="BPA%20L&#248;n%20Beregner%20April%202024%20-%20&#229;ben%20version%20inkl.%20engangsvederlag%20fra%20LOB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ministration"/>
      <sheetName val="Forudsætninger"/>
      <sheetName val="BPA-HHOK"/>
      <sheetName val="SOSU-OK"/>
      <sheetName val="Budgetark"/>
    </sheetNames>
    <sheetDataSet>
      <sheetData sheetId="0"/>
      <sheetData sheetId="1">
        <row r="73">
          <cell r="H73" t="str">
            <v>SOSUHjælper</v>
          </cell>
          <cell r="I73">
            <v>1244</v>
          </cell>
          <cell r="K73">
            <v>1962.5966000000001</v>
          </cell>
        </row>
        <row r="74">
          <cell r="H74" t="str">
            <v>SOSUAssistent</v>
          </cell>
          <cell r="I74">
            <v>1330</v>
          </cell>
          <cell r="K74">
            <v>2098.2745</v>
          </cell>
        </row>
      </sheetData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C41:E59" totalsRowShown="0" headerRowDxfId="6" headerRowBorderDxfId="5" tableBorderDxfId="4" totalsRowBorderDxfId="3">
  <tableColumns count="3">
    <tableColumn id="1" xr3:uid="{00000000-0010-0000-0000-000001000000}" name="Årsfremskrivning " dataDxfId="2" dataCellStyle="Komma"/>
    <tableColumn id="2" xr3:uid="{00000000-0010-0000-0000-000002000000}" name="Generel pris- og lønstigning, pct." dataDxfId="1"/>
    <tableColumn id="3" xr3:uid="{00000000-0010-0000-0000-000003000000}" name="Pristals-reguleret lønadm.takst" dataDxfId="0" dataCellStyle="Valut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l.dk/okonomi-og-administration/okonomi-og-styring/kommunal-oekonomi-a-z/" TargetMode="External"/><Relationship Id="rId1" Type="http://schemas.openxmlformats.org/officeDocument/2006/relationships/hyperlink" Target="https://www.danskerhverv.dk/politik-og-analyser/velfard/bpa---beregner/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workbookViewId="0">
      <selection activeCell="C8" sqref="C8"/>
    </sheetView>
  </sheetViews>
  <sheetFormatPr defaultColWidth="9.33203125" defaultRowHeight="10.199999999999999" x14ac:dyDescent="0.2"/>
  <cols>
    <col min="1" max="1" width="11.6640625" style="2" customWidth="1"/>
    <col min="2" max="2" width="52.44140625" style="2" customWidth="1"/>
    <col min="3" max="3" width="22.33203125" style="2" customWidth="1"/>
    <col min="4" max="4" width="22" style="2" customWidth="1"/>
    <col min="5" max="5" width="18.109375" style="2" customWidth="1"/>
    <col min="6" max="6" width="17.6640625" style="2" bestFit="1" customWidth="1"/>
    <col min="7" max="16384" width="9.33203125" style="2"/>
  </cols>
  <sheetData>
    <row r="1" spans="1:6" ht="19.8" x14ac:dyDescent="0.3">
      <c r="A1" s="1" t="s">
        <v>252</v>
      </c>
    </row>
    <row r="2" spans="1:6" ht="14.25" customHeight="1" thickBot="1" x14ac:dyDescent="0.35">
      <c r="A2" s="1"/>
    </row>
    <row r="3" spans="1:6" ht="14.4" x14ac:dyDescent="0.3">
      <c r="A3" s="316" t="s">
        <v>293</v>
      </c>
      <c r="B3" s="317"/>
      <c r="C3" s="317"/>
      <c r="D3" s="317"/>
      <c r="E3" s="317"/>
      <c r="F3" s="318"/>
    </row>
    <row r="4" spans="1:6" ht="15" thickBot="1" x14ac:dyDescent="0.35">
      <c r="A4" s="319" t="s">
        <v>294</v>
      </c>
      <c r="B4" s="320"/>
      <c r="C4" s="320"/>
      <c r="D4" s="320"/>
      <c r="E4" s="320"/>
      <c r="F4" s="321"/>
    </row>
    <row r="5" spans="1:6" ht="10.8" thickBot="1" x14ac:dyDescent="0.25"/>
    <row r="6" spans="1:6" x14ac:dyDescent="0.2">
      <c r="A6" s="4" t="s">
        <v>122</v>
      </c>
      <c r="B6" s="5"/>
      <c r="C6" s="5"/>
      <c r="D6" s="5"/>
      <c r="E6" s="5"/>
      <c r="F6" s="6"/>
    </row>
    <row r="7" spans="1:6" x14ac:dyDescent="0.2">
      <c r="A7" s="7"/>
      <c r="F7" s="8" t="s">
        <v>243</v>
      </c>
    </row>
    <row r="8" spans="1:6" x14ac:dyDescent="0.2">
      <c r="A8" s="7"/>
      <c r="B8" s="9" t="s">
        <v>245</v>
      </c>
      <c r="C8" s="57" t="s">
        <v>284</v>
      </c>
      <c r="D8" s="10" t="e">
        <f>IF(C8="BPA-HHOK",Budgetark!B21,Budgetark!C21)</f>
        <v>#DIV/0!</v>
      </c>
      <c r="F8" s="11"/>
    </row>
    <row r="9" spans="1:6" x14ac:dyDescent="0.2">
      <c r="A9" s="7"/>
      <c r="B9" s="2" t="s">
        <v>123</v>
      </c>
      <c r="C9" s="3"/>
      <c r="D9" s="58">
        <v>0</v>
      </c>
      <c r="F9" s="12" t="e">
        <f>D8*D9</f>
        <v>#DIV/0!</v>
      </c>
    </row>
    <row r="10" spans="1:6" x14ac:dyDescent="0.2">
      <c r="A10" s="7"/>
      <c r="B10" s="13" t="s">
        <v>242</v>
      </c>
      <c r="C10" s="13"/>
      <c r="D10" s="14">
        <f>+IF(C8="BPA-HHOK",ROUND(E59,2)*Budgetark!G6/Budgetark!G7,ROUND(E59,2)*Budgetark!J6/Budgetark!J7)</f>
        <v>2372.06</v>
      </c>
      <c r="E10" s="13"/>
      <c r="F10" s="15">
        <f>D10*F27</f>
        <v>0</v>
      </c>
    </row>
    <row r="11" spans="1:6" ht="10.8" thickBot="1" x14ac:dyDescent="0.25">
      <c r="A11" s="16"/>
      <c r="B11" s="17" t="s">
        <v>244</v>
      </c>
      <c r="C11" s="17"/>
      <c r="D11" s="18"/>
      <c r="E11" s="17"/>
      <c r="F11" s="19" t="e">
        <f>F10+F9</f>
        <v>#DIV/0!</v>
      </c>
    </row>
    <row r="12" spans="1:6" x14ac:dyDescent="0.2">
      <c r="C12" s="20"/>
      <c r="D12" s="21"/>
      <c r="E12" s="21"/>
      <c r="F12" s="21"/>
    </row>
    <row r="13" spans="1:6" x14ac:dyDescent="0.2">
      <c r="A13" s="22" t="s">
        <v>281</v>
      </c>
    </row>
    <row r="14" spans="1:6" ht="34.5" customHeight="1" x14ac:dyDescent="0.2">
      <c r="B14" s="325" t="s">
        <v>246</v>
      </c>
      <c r="C14" s="325"/>
      <c r="D14" s="325"/>
      <c r="E14" s="325"/>
      <c r="F14" s="325"/>
    </row>
    <row r="15" spans="1:6" ht="31.95" customHeight="1" x14ac:dyDescent="0.2">
      <c r="B15" s="325" t="s">
        <v>247</v>
      </c>
      <c r="C15" s="325"/>
      <c r="D15" s="325"/>
      <c r="E15" s="325"/>
      <c r="F15" s="325"/>
    </row>
    <row r="16" spans="1:6" ht="22.5" customHeight="1" x14ac:dyDescent="0.2">
      <c r="B16" s="259" t="s">
        <v>279</v>
      </c>
      <c r="C16" s="325" t="s">
        <v>278</v>
      </c>
      <c r="D16" s="325"/>
      <c r="E16" s="325"/>
      <c r="F16" s="325"/>
    </row>
    <row r="17" spans="1:6" x14ac:dyDescent="0.2">
      <c r="B17" s="23"/>
      <c r="C17" s="23"/>
      <c r="D17" s="23"/>
      <c r="E17" s="23"/>
      <c r="F17" s="23"/>
    </row>
    <row r="18" spans="1:6" x14ac:dyDescent="0.2">
      <c r="A18" s="22" t="s">
        <v>124</v>
      </c>
      <c r="B18" s="24"/>
      <c r="C18" s="24"/>
      <c r="D18" s="24"/>
      <c r="E18" s="24"/>
      <c r="F18" s="24"/>
    </row>
    <row r="19" spans="1:6" ht="42.75" customHeight="1" x14ac:dyDescent="0.2">
      <c r="B19" s="325" t="s">
        <v>248</v>
      </c>
      <c r="C19" s="325"/>
      <c r="D19" s="325"/>
      <c r="E19" s="325"/>
      <c r="F19" s="325"/>
    </row>
    <row r="20" spans="1:6" x14ac:dyDescent="0.2">
      <c r="B20" s="24"/>
      <c r="C20" s="24"/>
      <c r="D20" s="24"/>
      <c r="E20" s="24"/>
      <c r="F20" s="24"/>
    </row>
    <row r="21" spans="1:6" x14ac:dyDescent="0.2">
      <c r="A21" s="25" t="s">
        <v>125</v>
      </c>
    </row>
    <row r="22" spans="1:6" x14ac:dyDescent="0.2">
      <c r="B22" s="2" t="s">
        <v>126</v>
      </c>
    </row>
    <row r="23" spans="1:6" x14ac:dyDescent="0.2">
      <c r="B23" s="26" t="s">
        <v>267</v>
      </c>
    </row>
    <row r="24" spans="1:6" x14ac:dyDescent="0.2">
      <c r="B24" s="26" t="s">
        <v>127</v>
      </c>
    </row>
    <row r="26" spans="1:6" ht="20.399999999999999" x14ac:dyDescent="0.2">
      <c r="A26" s="27"/>
      <c r="B26" s="28" t="s">
        <v>249</v>
      </c>
      <c r="C26" s="29" t="str">
        <f>+C30</f>
        <v xml:space="preserve">Faste hjælpere </v>
      </c>
      <c r="D26" s="29" t="str">
        <f>+D30</f>
        <v xml:space="preserve">Afløsere/vikar </v>
      </c>
      <c r="E26" s="29" t="str">
        <f>+E30</f>
        <v xml:space="preserve">Personale-omsætning </v>
      </c>
      <c r="F26" s="30" t="str">
        <f>+F30</f>
        <v>Total hjælper tilknytning i team</v>
      </c>
    </row>
    <row r="27" spans="1:6" x14ac:dyDescent="0.2">
      <c r="B27" s="31">
        <f>IF(C8="BPA-HHOK",'BPA-HHOK'!F46,'SOSU-OK'!F46)</f>
        <v>0</v>
      </c>
      <c r="C27" s="32">
        <f>IF(B27&gt;72,ROUNDUP(B27/24,0),IF(AND(20&gt;B27,B27&gt;0),2,IF(AND(40&gt;B27,B27&gt;0),3,IF(AND(73&gt;B27,B27&gt;0),4,0))))</f>
        <v>0</v>
      </c>
      <c r="D27" s="32">
        <f>ROUNDUP(C27/4,0)</f>
        <v>0</v>
      </c>
      <c r="E27" s="32">
        <f>ROUND((C27+D27)*0.3,0)</f>
        <v>0</v>
      </c>
      <c r="F27" s="33">
        <f>+E27+D27+C27</f>
        <v>0</v>
      </c>
    </row>
    <row r="28" spans="1:6" ht="10.8" thickBot="1" x14ac:dyDescent="0.25"/>
    <row r="29" spans="1:6" x14ac:dyDescent="0.2">
      <c r="A29" s="322" t="s">
        <v>128</v>
      </c>
      <c r="B29" s="323"/>
      <c r="C29" s="323"/>
      <c r="D29" s="323"/>
      <c r="E29" s="323"/>
      <c r="F29" s="324"/>
    </row>
    <row r="30" spans="1:6" ht="20.399999999999999" x14ac:dyDescent="0.2">
      <c r="A30" s="34" t="s">
        <v>251</v>
      </c>
      <c r="B30" s="35" t="s">
        <v>129</v>
      </c>
      <c r="C30" s="36" t="s">
        <v>130</v>
      </c>
      <c r="D30" s="36" t="s">
        <v>131</v>
      </c>
      <c r="E30" s="37" t="s">
        <v>250</v>
      </c>
      <c r="F30" s="38" t="s">
        <v>132</v>
      </c>
    </row>
    <row r="31" spans="1:6" x14ac:dyDescent="0.2">
      <c r="A31" s="39" t="s">
        <v>133</v>
      </c>
      <c r="B31" s="2" t="s">
        <v>134</v>
      </c>
      <c r="C31" s="40">
        <v>2</v>
      </c>
      <c r="D31" s="40">
        <v>1</v>
      </c>
      <c r="E31" s="41">
        <f>SUM(C31:D31)*0.3</f>
        <v>0.89999999999999991</v>
      </c>
      <c r="F31" s="42">
        <f>+E31+D31+C31</f>
        <v>3.9</v>
      </c>
    </row>
    <row r="32" spans="1:6" x14ac:dyDescent="0.2">
      <c r="A32" s="43" t="s">
        <v>135</v>
      </c>
      <c r="B32" s="2" t="s">
        <v>134</v>
      </c>
      <c r="C32" s="40">
        <v>3</v>
      </c>
      <c r="D32" s="40">
        <v>1</v>
      </c>
      <c r="E32" s="41">
        <f t="shared" ref="E32:E33" si="0">SUM(C32:D32)*0.3</f>
        <v>1.2</v>
      </c>
      <c r="F32" s="42">
        <f t="shared" ref="F32:F33" si="1">+E32+D32+C32</f>
        <v>5.2</v>
      </c>
    </row>
    <row r="33" spans="1:6" x14ac:dyDescent="0.2">
      <c r="A33" s="43" t="s">
        <v>136</v>
      </c>
      <c r="B33" s="2" t="s">
        <v>134</v>
      </c>
      <c r="C33" s="40">
        <v>4</v>
      </c>
      <c r="D33" s="40">
        <v>1</v>
      </c>
      <c r="E33" s="41">
        <f t="shared" si="0"/>
        <v>1.5</v>
      </c>
      <c r="F33" s="42">
        <f t="shared" si="1"/>
        <v>6.5</v>
      </c>
    </row>
    <row r="34" spans="1:6" x14ac:dyDescent="0.2">
      <c r="A34" s="44" t="s">
        <v>137</v>
      </c>
      <c r="B34" s="13" t="s">
        <v>138</v>
      </c>
      <c r="C34" s="45" t="s">
        <v>139</v>
      </c>
      <c r="D34" s="45" t="s">
        <v>139</v>
      </c>
      <c r="E34" s="46" t="s">
        <v>139</v>
      </c>
      <c r="F34" s="47" t="s">
        <v>254</v>
      </c>
    </row>
    <row r="35" spans="1:6" ht="10.8" thickBot="1" x14ac:dyDescent="0.25">
      <c r="A35" s="48"/>
      <c r="B35" s="49" t="s">
        <v>140</v>
      </c>
      <c r="C35" s="49"/>
      <c r="D35" s="49"/>
      <c r="E35" s="49"/>
      <c r="F35" s="50"/>
    </row>
    <row r="38" spans="1:6" x14ac:dyDescent="0.2">
      <c r="A38" s="27" t="s">
        <v>141</v>
      </c>
    </row>
    <row r="39" spans="1:6" x14ac:dyDescent="0.2">
      <c r="B39" s="2" t="s">
        <v>142</v>
      </c>
    </row>
    <row r="40" spans="1:6" ht="13.2" x14ac:dyDescent="0.25">
      <c r="B40" s="296" t="s">
        <v>420</v>
      </c>
    </row>
    <row r="41" spans="1:6" ht="35.25" customHeight="1" x14ac:dyDescent="0.2">
      <c r="C41" s="51" t="s">
        <v>255</v>
      </c>
      <c r="D41" s="52" t="s">
        <v>223</v>
      </c>
      <c r="E41" s="53" t="s">
        <v>417</v>
      </c>
    </row>
    <row r="42" spans="1:6" x14ac:dyDescent="0.2">
      <c r="C42" s="54">
        <v>2009</v>
      </c>
      <c r="D42" s="55">
        <v>0</v>
      </c>
      <c r="E42" s="56">
        <v>1643</v>
      </c>
    </row>
    <row r="43" spans="1:6" x14ac:dyDescent="0.2">
      <c r="C43" s="54">
        <v>2010</v>
      </c>
      <c r="D43" s="55">
        <v>2.8</v>
      </c>
      <c r="E43" s="56">
        <f t="shared" ref="E43:E59" si="2">E42*(D43+100)/100</f>
        <v>1689.0039999999999</v>
      </c>
    </row>
    <row r="44" spans="1:6" x14ac:dyDescent="0.2">
      <c r="C44" s="54">
        <v>2011</v>
      </c>
      <c r="D44" s="55">
        <v>1.1000000000000001</v>
      </c>
      <c r="E44" s="56">
        <f t="shared" si="2"/>
        <v>1707.583044</v>
      </c>
    </row>
    <row r="45" spans="1:6" x14ac:dyDescent="0.2">
      <c r="C45" s="54">
        <v>2012</v>
      </c>
      <c r="D45" s="55">
        <v>2.2999999999999998</v>
      </c>
      <c r="E45" s="56">
        <f t="shared" si="2"/>
        <v>1746.8574540119998</v>
      </c>
    </row>
    <row r="46" spans="1:6" x14ac:dyDescent="0.2">
      <c r="C46" s="54">
        <v>2013</v>
      </c>
      <c r="D46" s="55">
        <v>0.9</v>
      </c>
      <c r="E46" s="56">
        <f t="shared" si="2"/>
        <v>1762.579171098108</v>
      </c>
    </row>
    <row r="47" spans="1:6" x14ac:dyDescent="0.2">
      <c r="C47" s="54">
        <v>2014</v>
      </c>
      <c r="D47" s="55">
        <v>1.3</v>
      </c>
      <c r="E47" s="56">
        <f t="shared" si="2"/>
        <v>1785.4927003223834</v>
      </c>
    </row>
    <row r="48" spans="1:6" x14ac:dyDescent="0.2">
      <c r="C48" s="54">
        <v>2015</v>
      </c>
      <c r="D48" s="55">
        <v>1.3</v>
      </c>
      <c r="E48" s="56">
        <f t="shared" si="2"/>
        <v>1808.7041054265742</v>
      </c>
    </row>
    <row r="49" spans="3:5" x14ac:dyDescent="0.2">
      <c r="C49" s="54">
        <v>2016</v>
      </c>
      <c r="D49" s="55">
        <v>1.5</v>
      </c>
      <c r="E49" s="56">
        <f t="shared" si="2"/>
        <v>1835.8346670079729</v>
      </c>
    </row>
    <row r="50" spans="3:5" x14ac:dyDescent="0.2">
      <c r="C50" s="54">
        <v>2017</v>
      </c>
      <c r="D50" s="55">
        <v>2</v>
      </c>
      <c r="E50" s="56">
        <f t="shared" si="2"/>
        <v>1872.5513603481324</v>
      </c>
    </row>
    <row r="51" spans="3:5" x14ac:dyDescent="0.2">
      <c r="C51" s="54">
        <v>2018</v>
      </c>
      <c r="D51" s="55">
        <v>1.3</v>
      </c>
      <c r="E51" s="56">
        <f t="shared" si="2"/>
        <v>1896.8945280326579</v>
      </c>
    </row>
    <row r="52" spans="3:5" x14ac:dyDescent="0.2">
      <c r="C52" s="54">
        <v>2019</v>
      </c>
      <c r="D52" s="55">
        <v>1.6</v>
      </c>
      <c r="E52" s="56">
        <f t="shared" si="2"/>
        <v>1927.2448404811803</v>
      </c>
    </row>
    <row r="53" spans="3:5" x14ac:dyDescent="0.2">
      <c r="C53" s="264">
        <v>2020</v>
      </c>
      <c r="D53" s="295">
        <v>2.1</v>
      </c>
      <c r="E53" s="56">
        <f t="shared" si="2"/>
        <v>1967.7169821312848</v>
      </c>
    </row>
    <row r="54" spans="3:5" x14ac:dyDescent="0.2">
      <c r="C54" s="264">
        <v>2021</v>
      </c>
      <c r="D54" s="294">
        <v>1.7</v>
      </c>
      <c r="E54" s="56">
        <f t="shared" si="2"/>
        <v>2001.1681708275166</v>
      </c>
    </row>
    <row r="55" spans="3:5" x14ac:dyDescent="0.2">
      <c r="C55" s="264">
        <v>2022</v>
      </c>
      <c r="D55" s="295">
        <v>3.7</v>
      </c>
      <c r="E55" s="56">
        <f t="shared" si="2"/>
        <v>2075.2113931481349</v>
      </c>
    </row>
    <row r="56" spans="3:5" x14ac:dyDescent="0.2">
      <c r="C56" s="264">
        <v>2023</v>
      </c>
      <c r="D56" s="295">
        <v>2.8</v>
      </c>
      <c r="E56" s="56">
        <f t="shared" si="2"/>
        <v>2133.3173121562827</v>
      </c>
    </row>
    <row r="57" spans="3:5" x14ac:dyDescent="0.2">
      <c r="C57" s="264">
        <v>2024</v>
      </c>
      <c r="D57" s="295">
        <v>4</v>
      </c>
      <c r="E57" s="56">
        <f t="shared" si="2"/>
        <v>2218.650004642534</v>
      </c>
    </row>
    <row r="58" spans="3:5" x14ac:dyDescent="0.2">
      <c r="C58" s="264">
        <v>2025</v>
      </c>
      <c r="D58" s="295">
        <v>3.7</v>
      </c>
      <c r="E58" s="56">
        <f t="shared" si="2"/>
        <v>2300.7400548143078</v>
      </c>
    </row>
    <row r="59" spans="3:5" x14ac:dyDescent="0.2">
      <c r="C59" s="311">
        <v>2026</v>
      </c>
      <c r="D59" s="312">
        <v>3.1</v>
      </c>
      <c r="E59" s="313">
        <f t="shared" si="2"/>
        <v>2372.0629965135508</v>
      </c>
    </row>
  </sheetData>
  <sheetProtection algorithmName="SHA-512" hashValue="6MYapr5zpMzl7CWCAoplPuogHgPBleUDnIIW2M+QglzizKOpxT+wzlOBx0ObROVm8myhy1PzGQaXlRKbyywzRw==" saltValue="xgxcVfCxEgVHnBpTvi2X0Q==" spinCount="100000" sheet="1" objects="1" scenarios="1"/>
  <mergeCells count="7">
    <mergeCell ref="A3:F3"/>
    <mergeCell ref="A4:F4"/>
    <mergeCell ref="A29:F29"/>
    <mergeCell ref="B14:F14"/>
    <mergeCell ref="B15:F15"/>
    <mergeCell ref="B19:F19"/>
    <mergeCell ref="C16:F16"/>
  </mergeCells>
  <dataValidations count="2">
    <dataValidation type="list" allowBlank="1" showInputMessage="1" showErrorMessage="1" sqref="C8" xr:uid="{00000000-0002-0000-0000-000000000000}">
      <formula1>"BPA-HHOK, SOSU-OK"</formula1>
    </dataValidation>
    <dataValidation allowBlank="1" showInputMessage="1" showErrorMessage="1" promptTitle="Overhead" prompt="Indsæt overheadprocent fra administrationsbidrags beregner" sqref="D9" xr:uid="{00000000-0002-0000-0000-000001000000}"/>
  </dataValidations>
  <hyperlinks>
    <hyperlink ref="B16" r:id="rId1" xr:uid="{00000000-0004-0000-0000-000000000000}"/>
    <hyperlink ref="B40" r:id="rId2" xr:uid="{00000000-0004-0000-0000-000001000000}"/>
  </hyperlinks>
  <pageMargins left="0.7" right="0.7" top="0.75" bottom="0.75" header="0.3" footer="0.3"/>
  <pageSetup paperSize="8" fitToHeight="0" orientation="portrait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8"/>
  <sheetViews>
    <sheetView workbookViewId="0"/>
  </sheetViews>
  <sheetFormatPr defaultColWidth="9.33203125" defaultRowHeight="10.199999999999999" outlineLevelCol="1" x14ac:dyDescent="0.2"/>
  <cols>
    <col min="1" max="1" width="36.6640625" style="2" customWidth="1"/>
    <col min="2" max="2" width="13.6640625" style="2" customWidth="1"/>
    <col min="3" max="3" width="13.44140625" style="2" customWidth="1"/>
    <col min="4" max="5" width="10.44140625" style="2" customWidth="1"/>
    <col min="6" max="6" width="13.109375" style="2" customWidth="1"/>
    <col min="7" max="7" width="8" style="2" customWidth="1"/>
    <col min="8" max="8" width="25.6640625" style="2" customWidth="1"/>
    <col min="9" max="9" width="18.6640625" style="2" customWidth="1"/>
    <col min="10" max="10" width="12.6640625" style="2" customWidth="1"/>
    <col min="11" max="11" width="14.33203125" style="2" bestFit="1" customWidth="1"/>
    <col min="12" max="12" width="9.33203125" style="2"/>
    <col min="13" max="14" width="9.33203125" style="2" customWidth="1"/>
    <col min="15" max="15" width="9.33203125" style="2"/>
    <col min="16" max="16" width="14.44140625" style="2" hidden="1" customWidth="1" outlineLevel="1"/>
    <col min="17" max="17" width="8.33203125" style="2" hidden="1" customWidth="1" outlineLevel="1"/>
    <col min="18" max="18" width="28.6640625" style="2" hidden="1" customWidth="1" outlineLevel="1"/>
    <col min="19" max="19" width="9.33203125" style="2" collapsed="1"/>
    <col min="20" max="20" width="17.109375" style="2" customWidth="1"/>
    <col min="21" max="21" width="10.6640625" style="2" bestFit="1" customWidth="1"/>
    <col min="22" max="22" width="9.33203125" style="2"/>
    <col min="23" max="23" width="16.6640625" style="2" bestFit="1" customWidth="1"/>
    <col min="24" max="24" width="10.6640625" style="2" bestFit="1" customWidth="1"/>
    <col min="25" max="16384" width="9.33203125" style="2"/>
  </cols>
  <sheetData>
    <row r="1" spans="1:18" ht="19.8" x14ac:dyDescent="0.3">
      <c r="A1" s="1" t="s">
        <v>253</v>
      </c>
      <c r="R1" s="2" t="s">
        <v>280</v>
      </c>
    </row>
    <row r="2" spans="1:18" ht="12.75" customHeight="1" thickBot="1" x14ac:dyDescent="0.35">
      <c r="A2" s="1"/>
      <c r="R2" s="2" t="s">
        <v>445</v>
      </c>
    </row>
    <row r="3" spans="1:18" ht="15.6" thickTop="1" thickBot="1" x14ac:dyDescent="0.35">
      <c r="H3" s="326" t="s">
        <v>256</v>
      </c>
      <c r="I3" s="327"/>
      <c r="J3" s="328"/>
      <c r="R3" s="2" t="s">
        <v>444</v>
      </c>
    </row>
    <row r="4" spans="1:18" ht="16.8" thickTop="1" x14ac:dyDescent="0.3">
      <c r="A4" s="59" t="s">
        <v>206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8" x14ac:dyDescent="0.2">
      <c r="P5" s="2" t="s">
        <v>303</v>
      </c>
      <c r="Q5" s="2" t="s">
        <v>304</v>
      </c>
    </row>
    <row r="6" spans="1:18" x14ac:dyDescent="0.2">
      <c r="A6" s="334" t="s">
        <v>403</v>
      </c>
      <c r="B6" s="334"/>
      <c r="C6" s="334"/>
      <c r="D6" s="334"/>
      <c r="P6" s="2" t="s">
        <v>305</v>
      </c>
      <c r="Q6" s="2">
        <v>4</v>
      </c>
    </row>
    <row r="7" spans="1:18" ht="13.65" customHeight="1" thickBot="1" x14ac:dyDescent="0.25">
      <c r="P7" s="2" t="s">
        <v>306</v>
      </c>
      <c r="Q7" s="2">
        <v>3</v>
      </c>
    </row>
    <row r="8" spans="1:18" ht="13.65" customHeight="1" thickBot="1" x14ac:dyDescent="0.25">
      <c r="A8" s="282" t="s">
        <v>405</v>
      </c>
      <c r="B8" s="285">
        <v>46296</v>
      </c>
      <c r="C8" s="338" t="s">
        <v>406</v>
      </c>
      <c r="D8" s="338"/>
      <c r="E8" s="338"/>
      <c r="F8" s="338"/>
      <c r="G8" s="339"/>
      <c r="I8" s="306" t="s">
        <v>447</v>
      </c>
      <c r="J8" s="303" t="s">
        <v>119</v>
      </c>
      <c r="P8" s="2" t="s">
        <v>307</v>
      </c>
      <c r="Q8" s="2">
        <v>0</v>
      </c>
    </row>
    <row r="9" spans="1:18" ht="10.8" thickBot="1" x14ac:dyDescent="0.25">
      <c r="A9" s="283" t="s">
        <v>439</v>
      </c>
      <c r="B9" s="284" t="s">
        <v>404</v>
      </c>
      <c r="C9" s="278">
        <v>0</v>
      </c>
      <c r="D9" s="278">
        <v>1</v>
      </c>
      <c r="E9" s="278">
        <v>2</v>
      </c>
      <c r="F9" s="278">
        <v>3</v>
      </c>
      <c r="G9" s="279">
        <v>4</v>
      </c>
      <c r="I9" s="62" t="s">
        <v>452</v>
      </c>
      <c r="J9" s="304">
        <v>1.36</v>
      </c>
      <c r="P9" s="2" t="s">
        <v>308</v>
      </c>
      <c r="Q9" s="2">
        <v>4</v>
      </c>
    </row>
    <row r="10" spans="1:18" x14ac:dyDescent="0.2">
      <c r="A10" s="62" t="s">
        <v>431</v>
      </c>
      <c r="B10" s="298">
        <v>13</v>
      </c>
      <c r="C10" s="277">
        <v>156.69</v>
      </c>
      <c r="D10" s="277">
        <v>159.1</v>
      </c>
      <c r="E10" s="277">
        <v>160.77000000000001</v>
      </c>
      <c r="F10" s="277">
        <v>163.19</v>
      </c>
      <c r="G10" s="276">
        <v>164.86</v>
      </c>
      <c r="I10" s="62" t="s">
        <v>453</v>
      </c>
      <c r="J10" s="304">
        <v>2.23</v>
      </c>
      <c r="P10" s="2" t="s">
        <v>309</v>
      </c>
      <c r="Q10" s="2">
        <v>4</v>
      </c>
    </row>
    <row r="11" spans="1:18" x14ac:dyDescent="0.2">
      <c r="A11" s="62"/>
      <c r="B11" s="298">
        <v>14</v>
      </c>
      <c r="C11" s="277">
        <v>159.38999999999999</v>
      </c>
      <c r="D11" s="277">
        <v>161.87</v>
      </c>
      <c r="E11" s="277">
        <v>163.58000000000001</v>
      </c>
      <c r="F11" s="277">
        <v>166.06</v>
      </c>
      <c r="G11" s="276">
        <v>167.77</v>
      </c>
      <c r="I11" s="62" t="s">
        <v>454</v>
      </c>
      <c r="J11" s="304">
        <v>2.23</v>
      </c>
      <c r="P11" s="2" t="s">
        <v>310</v>
      </c>
      <c r="Q11" s="2">
        <v>0</v>
      </c>
    </row>
    <row r="12" spans="1:18" x14ac:dyDescent="0.2">
      <c r="A12" s="62"/>
      <c r="B12" s="298">
        <v>15</v>
      </c>
      <c r="C12" s="277">
        <v>160.97</v>
      </c>
      <c r="D12" s="277">
        <v>163.51</v>
      </c>
      <c r="E12" s="277">
        <v>165.26</v>
      </c>
      <c r="F12" s="277">
        <v>167.8</v>
      </c>
      <c r="G12" s="276">
        <v>169.56</v>
      </c>
      <c r="I12" s="62" t="s">
        <v>455</v>
      </c>
      <c r="J12" s="304">
        <v>2.66</v>
      </c>
      <c r="P12" s="2" t="s">
        <v>311</v>
      </c>
      <c r="Q12" s="2">
        <v>0</v>
      </c>
    </row>
    <row r="13" spans="1:18" ht="10.8" thickBot="1" x14ac:dyDescent="0.25">
      <c r="A13" s="62"/>
      <c r="B13" s="298">
        <v>16</v>
      </c>
      <c r="C13" s="277">
        <v>163.71</v>
      </c>
      <c r="D13" s="277">
        <v>166.31</v>
      </c>
      <c r="E13" s="277">
        <v>168.11</v>
      </c>
      <c r="F13" s="277">
        <v>170.71</v>
      </c>
      <c r="G13" s="276">
        <v>172.51</v>
      </c>
      <c r="I13" s="64" t="s">
        <v>280</v>
      </c>
      <c r="J13" s="307">
        <v>0</v>
      </c>
      <c r="P13" s="2" t="s">
        <v>312</v>
      </c>
      <c r="Q13" s="2">
        <v>4</v>
      </c>
    </row>
    <row r="14" spans="1:18" x14ac:dyDescent="0.2">
      <c r="A14" s="62"/>
      <c r="B14" s="298">
        <v>17</v>
      </c>
      <c r="C14" s="277">
        <v>165.98</v>
      </c>
      <c r="D14" s="277">
        <v>168.66</v>
      </c>
      <c r="E14" s="277">
        <v>170.51</v>
      </c>
      <c r="F14" s="277">
        <v>173.19</v>
      </c>
      <c r="G14" s="276">
        <v>175.05</v>
      </c>
      <c r="P14" s="2" t="s">
        <v>313</v>
      </c>
      <c r="Q14" s="2">
        <v>4</v>
      </c>
    </row>
    <row r="15" spans="1:18" ht="10.5" customHeight="1" x14ac:dyDescent="0.2">
      <c r="A15" s="62" t="s">
        <v>407</v>
      </c>
      <c r="B15" s="298">
        <v>18</v>
      </c>
      <c r="C15" s="277">
        <v>169.01</v>
      </c>
      <c r="D15" s="277">
        <v>171.76</v>
      </c>
      <c r="E15" s="277">
        <v>173.66</v>
      </c>
      <c r="F15" s="277">
        <v>176.41</v>
      </c>
      <c r="G15" s="276">
        <v>178.31</v>
      </c>
      <c r="P15" s="2" t="s">
        <v>314</v>
      </c>
      <c r="Q15" s="2">
        <v>1</v>
      </c>
    </row>
    <row r="16" spans="1:18" ht="10.8" thickBot="1" x14ac:dyDescent="0.25">
      <c r="A16" s="62"/>
      <c r="B16" s="298">
        <v>19</v>
      </c>
      <c r="C16" s="277">
        <v>171.28</v>
      </c>
      <c r="D16" s="277">
        <v>174.1</v>
      </c>
      <c r="E16" s="277">
        <v>176.05</v>
      </c>
      <c r="F16" s="277">
        <v>178.87</v>
      </c>
      <c r="G16" s="276">
        <v>180.82</v>
      </c>
      <c r="P16" s="2" t="s">
        <v>315</v>
      </c>
      <c r="Q16" s="2">
        <v>1</v>
      </c>
      <c r="R16" s="2" t="s">
        <v>316</v>
      </c>
    </row>
    <row r="17" spans="1:17" ht="21" customHeight="1" x14ac:dyDescent="0.2">
      <c r="A17" s="62" t="s">
        <v>408</v>
      </c>
      <c r="B17" s="298">
        <v>20</v>
      </c>
      <c r="C17" s="277">
        <v>173.3</v>
      </c>
      <c r="D17" s="277">
        <v>176.19</v>
      </c>
      <c r="E17" s="277">
        <v>178.19</v>
      </c>
      <c r="F17" s="277">
        <v>181.08</v>
      </c>
      <c r="G17" s="276">
        <v>183.08</v>
      </c>
      <c r="I17" s="306" t="s">
        <v>448</v>
      </c>
      <c r="J17" s="303" t="s">
        <v>119</v>
      </c>
      <c r="P17" s="2" t="s">
        <v>317</v>
      </c>
      <c r="Q17" s="2">
        <v>0</v>
      </c>
    </row>
    <row r="18" spans="1:17" x14ac:dyDescent="0.2">
      <c r="A18" s="62"/>
      <c r="B18" s="298">
        <v>21</v>
      </c>
      <c r="C18" s="277">
        <v>176.17</v>
      </c>
      <c r="D18" s="277">
        <v>179.13</v>
      </c>
      <c r="E18" s="277">
        <v>181.19</v>
      </c>
      <c r="F18" s="277">
        <v>184.15</v>
      </c>
      <c r="G18" s="276">
        <v>186.2</v>
      </c>
      <c r="I18" s="62" t="s">
        <v>452</v>
      </c>
      <c r="J18" s="304">
        <v>0.45</v>
      </c>
      <c r="P18" s="2" t="s">
        <v>318</v>
      </c>
      <c r="Q18" s="2">
        <v>0</v>
      </c>
    </row>
    <row r="19" spans="1:17" ht="10.5" customHeight="1" x14ac:dyDescent="0.2">
      <c r="A19" s="62" t="s">
        <v>409</v>
      </c>
      <c r="B19" s="298">
        <v>22</v>
      </c>
      <c r="C19" s="277">
        <v>178.26</v>
      </c>
      <c r="D19" s="277">
        <v>181.23</v>
      </c>
      <c r="E19" s="277">
        <v>183.28</v>
      </c>
      <c r="F19" s="277">
        <v>186.24</v>
      </c>
      <c r="G19" s="276">
        <v>188.29</v>
      </c>
      <c r="I19" s="62" t="s">
        <v>453</v>
      </c>
      <c r="J19" s="304">
        <v>0.45</v>
      </c>
      <c r="P19" s="2" t="s">
        <v>319</v>
      </c>
      <c r="Q19" s="2">
        <v>3</v>
      </c>
    </row>
    <row r="20" spans="1:17" x14ac:dyDescent="0.2">
      <c r="A20" s="62"/>
      <c r="B20" s="298">
        <v>23</v>
      </c>
      <c r="C20" s="277">
        <v>181.11</v>
      </c>
      <c r="D20" s="277">
        <v>183.99</v>
      </c>
      <c r="E20" s="277">
        <v>185.98</v>
      </c>
      <c r="F20" s="277">
        <v>188.87</v>
      </c>
      <c r="G20" s="276">
        <v>190.86</v>
      </c>
      <c r="I20" s="62" t="s">
        <v>454</v>
      </c>
      <c r="J20" s="304">
        <v>0.45</v>
      </c>
      <c r="P20" s="2" t="s">
        <v>320</v>
      </c>
      <c r="Q20" s="2">
        <v>0</v>
      </c>
    </row>
    <row r="21" spans="1:17" ht="20.399999999999999" x14ac:dyDescent="0.2">
      <c r="A21" s="62" t="s">
        <v>435</v>
      </c>
      <c r="B21" s="298">
        <v>24</v>
      </c>
      <c r="C21" s="277">
        <v>184.04</v>
      </c>
      <c r="D21" s="277">
        <v>186.84</v>
      </c>
      <c r="E21" s="277">
        <v>188.78</v>
      </c>
      <c r="F21" s="277">
        <v>191.58</v>
      </c>
      <c r="G21" s="276">
        <v>193.52</v>
      </c>
      <c r="I21" s="62" t="s">
        <v>456</v>
      </c>
      <c r="J21" s="304">
        <v>0.45</v>
      </c>
    </row>
    <row r="22" spans="1:17" ht="10.8" thickBot="1" x14ac:dyDescent="0.25">
      <c r="A22" s="62"/>
      <c r="B22" s="298">
        <v>25</v>
      </c>
      <c r="C22" s="277">
        <v>187.03</v>
      </c>
      <c r="D22" s="277">
        <v>189.75</v>
      </c>
      <c r="E22" s="277">
        <v>191.63</v>
      </c>
      <c r="F22" s="277">
        <v>194.34</v>
      </c>
      <c r="G22" s="276">
        <v>196.22</v>
      </c>
      <c r="I22" s="64" t="s">
        <v>280</v>
      </c>
      <c r="J22" s="307">
        <v>0</v>
      </c>
      <c r="P22" s="2" t="s">
        <v>321</v>
      </c>
      <c r="Q22" s="2">
        <v>4</v>
      </c>
    </row>
    <row r="23" spans="1:17" x14ac:dyDescent="0.2">
      <c r="A23" s="62"/>
      <c r="B23" s="298">
        <v>26</v>
      </c>
      <c r="C23" s="277">
        <v>190.1</v>
      </c>
      <c r="D23" s="277">
        <v>192.72</v>
      </c>
      <c r="E23" s="277">
        <v>194.53</v>
      </c>
      <c r="F23" s="277">
        <v>197.15</v>
      </c>
      <c r="G23" s="276">
        <v>198.97</v>
      </c>
      <c r="P23" s="2" t="s">
        <v>322</v>
      </c>
      <c r="Q23" s="2">
        <v>1</v>
      </c>
    </row>
    <row r="24" spans="1:17" ht="21" customHeight="1" x14ac:dyDescent="0.2">
      <c r="A24" s="62"/>
      <c r="B24" s="298">
        <v>27</v>
      </c>
      <c r="C24" s="277">
        <v>193.23</v>
      </c>
      <c r="D24" s="277">
        <v>195.75</v>
      </c>
      <c r="E24" s="277">
        <v>197.49</v>
      </c>
      <c r="F24" s="277">
        <v>200.01</v>
      </c>
      <c r="G24" s="276">
        <v>201.76</v>
      </c>
      <c r="P24" s="2" t="s">
        <v>323</v>
      </c>
      <c r="Q24" s="2">
        <v>3</v>
      </c>
    </row>
    <row r="25" spans="1:17" x14ac:dyDescent="0.2">
      <c r="A25" s="62" t="s">
        <v>434</v>
      </c>
      <c r="B25" s="298">
        <v>28</v>
      </c>
      <c r="C25" s="277">
        <v>196.44</v>
      </c>
      <c r="D25" s="277">
        <v>198.85</v>
      </c>
      <c r="E25" s="277">
        <v>200.52</v>
      </c>
      <c r="F25" s="277">
        <v>202.93</v>
      </c>
      <c r="G25" s="276">
        <v>204.6</v>
      </c>
      <c r="P25" s="2" t="s">
        <v>324</v>
      </c>
      <c r="Q25" s="2">
        <v>4</v>
      </c>
    </row>
    <row r="26" spans="1:17" x14ac:dyDescent="0.2">
      <c r="A26" s="62" t="s">
        <v>433</v>
      </c>
      <c r="B26" s="298">
        <v>29</v>
      </c>
      <c r="C26" s="277">
        <v>199.71</v>
      </c>
      <c r="D26" s="277">
        <v>202.01</v>
      </c>
      <c r="E26" s="277">
        <v>203.6</v>
      </c>
      <c r="F26" s="277">
        <v>205.9</v>
      </c>
      <c r="G26" s="276">
        <v>207.49</v>
      </c>
      <c r="P26" s="2" t="s">
        <v>325</v>
      </c>
      <c r="Q26" s="2">
        <v>1</v>
      </c>
    </row>
    <row r="27" spans="1:17" x14ac:dyDescent="0.2">
      <c r="A27" s="62"/>
      <c r="B27" s="298">
        <v>30</v>
      </c>
      <c r="C27" s="277">
        <v>203.06</v>
      </c>
      <c r="D27" s="277">
        <v>205.23</v>
      </c>
      <c r="E27" s="277">
        <v>206.74</v>
      </c>
      <c r="F27" s="277">
        <v>208.92</v>
      </c>
      <c r="G27" s="276">
        <v>210.42</v>
      </c>
      <c r="P27" s="2" t="s">
        <v>326</v>
      </c>
      <c r="Q27" s="2">
        <v>4</v>
      </c>
    </row>
    <row r="28" spans="1:17" ht="21" customHeight="1" x14ac:dyDescent="0.2">
      <c r="A28" s="62" t="s">
        <v>432</v>
      </c>
      <c r="B28" s="298">
        <v>31</v>
      </c>
      <c r="C28" s="277">
        <v>206.48</v>
      </c>
      <c r="D28" s="277">
        <v>208.53</v>
      </c>
      <c r="E28" s="277">
        <v>209.94</v>
      </c>
      <c r="F28" s="277">
        <v>211.99</v>
      </c>
      <c r="G28" s="276">
        <v>213.41</v>
      </c>
      <c r="P28" s="2" t="s">
        <v>327</v>
      </c>
      <c r="Q28" s="2">
        <v>4</v>
      </c>
    </row>
    <row r="29" spans="1:17" x14ac:dyDescent="0.2">
      <c r="A29" s="62"/>
      <c r="B29" s="298">
        <v>32</v>
      </c>
      <c r="C29" s="277">
        <v>209.98</v>
      </c>
      <c r="D29" s="277">
        <v>211.89</v>
      </c>
      <c r="E29" s="277">
        <v>213.21</v>
      </c>
      <c r="F29" s="277">
        <v>215.12</v>
      </c>
      <c r="G29" s="276">
        <v>216.44</v>
      </c>
      <c r="P29" s="2" t="s">
        <v>328</v>
      </c>
      <c r="Q29" s="2">
        <v>4</v>
      </c>
    </row>
    <row r="30" spans="1:17" x14ac:dyDescent="0.2">
      <c r="A30" s="62" t="s">
        <v>410</v>
      </c>
      <c r="B30" s="298">
        <v>33</v>
      </c>
      <c r="C30" s="277">
        <v>213.55</v>
      </c>
      <c r="D30" s="277">
        <v>215.32</v>
      </c>
      <c r="E30" s="277">
        <v>216.54</v>
      </c>
      <c r="F30" s="277">
        <v>218.3</v>
      </c>
      <c r="G30" s="276">
        <v>219.52</v>
      </c>
      <c r="P30" s="2" t="s">
        <v>329</v>
      </c>
      <c r="Q30" s="2">
        <v>4</v>
      </c>
    </row>
    <row r="31" spans="1:17" ht="10.8" thickBot="1" x14ac:dyDescent="0.25">
      <c r="A31" s="64"/>
      <c r="B31" s="299">
        <v>34</v>
      </c>
      <c r="C31" s="280">
        <v>217.21</v>
      </c>
      <c r="D31" s="280">
        <v>218.82</v>
      </c>
      <c r="E31" s="280">
        <v>219.93</v>
      </c>
      <c r="F31" s="280">
        <v>221.54</v>
      </c>
      <c r="G31" s="281">
        <v>222.65</v>
      </c>
      <c r="P31" s="2" t="s">
        <v>330</v>
      </c>
      <c r="Q31" s="2">
        <v>3</v>
      </c>
    </row>
    <row r="32" spans="1:17" x14ac:dyDescent="0.2">
      <c r="P32" s="2" t="s">
        <v>331</v>
      </c>
      <c r="Q32" s="2">
        <v>0</v>
      </c>
    </row>
    <row r="33" spans="1:17" x14ac:dyDescent="0.2">
      <c r="P33" s="2" t="s">
        <v>332</v>
      </c>
      <c r="Q33" s="2">
        <v>0</v>
      </c>
    </row>
    <row r="34" spans="1:17" x14ac:dyDescent="0.2">
      <c r="P34" s="2" t="s">
        <v>333</v>
      </c>
      <c r="Q34" s="2">
        <v>3</v>
      </c>
    </row>
    <row r="35" spans="1:17" x14ac:dyDescent="0.2">
      <c r="A35" s="334" t="s">
        <v>285</v>
      </c>
      <c r="B35" s="334"/>
      <c r="C35" s="334"/>
      <c r="D35" s="334"/>
      <c r="H35" s="334" t="s">
        <v>210</v>
      </c>
      <c r="I35" s="334"/>
      <c r="J35" s="334"/>
      <c r="K35" s="334"/>
      <c r="P35" s="2" t="s">
        <v>334</v>
      </c>
      <c r="Q35" s="2">
        <v>0</v>
      </c>
    </row>
    <row r="36" spans="1:17" x14ac:dyDescent="0.2">
      <c r="P36" s="2" t="s">
        <v>335</v>
      </c>
      <c r="Q36" s="2">
        <v>3</v>
      </c>
    </row>
    <row r="37" spans="1:17" ht="10.8" thickBot="1" x14ac:dyDescent="0.25">
      <c r="P37" s="2" t="s">
        <v>336</v>
      </c>
      <c r="Q37" s="2">
        <v>4</v>
      </c>
    </row>
    <row r="38" spans="1:17" ht="10.8" thickBot="1" x14ac:dyDescent="0.25">
      <c r="A38" s="60" t="s">
        <v>197</v>
      </c>
      <c r="B38" s="61" t="s">
        <v>190</v>
      </c>
      <c r="H38" s="60" t="s">
        <v>197</v>
      </c>
      <c r="I38" s="61" t="s">
        <v>190</v>
      </c>
      <c r="P38" s="2" t="s">
        <v>337</v>
      </c>
      <c r="Q38" s="2">
        <v>0</v>
      </c>
    </row>
    <row r="39" spans="1:17" x14ac:dyDescent="0.2">
      <c r="A39" s="62" t="s">
        <v>184</v>
      </c>
      <c r="B39" s="63">
        <v>0.36</v>
      </c>
      <c r="H39" s="62" t="s">
        <v>184</v>
      </c>
      <c r="I39" s="63">
        <v>0.36</v>
      </c>
      <c r="P39" s="2" t="s">
        <v>338</v>
      </c>
      <c r="Q39" s="2">
        <v>3</v>
      </c>
    </row>
    <row r="40" spans="1:17" x14ac:dyDescent="0.2">
      <c r="A40" s="62" t="s">
        <v>185</v>
      </c>
      <c r="B40" s="63">
        <v>0.4</v>
      </c>
      <c r="H40" s="62" t="s">
        <v>185</v>
      </c>
      <c r="I40" s="63">
        <v>0.4</v>
      </c>
      <c r="P40" s="2" t="s">
        <v>339</v>
      </c>
      <c r="Q40" s="2">
        <v>0</v>
      </c>
    </row>
    <row r="41" spans="1:17" x14ac:dyDescent="0.2">
      <c r="A41" s="62" t="s">
        <v>186</v>
      </c>
      <c r="B41" s="63">
        <v>0.32</v>
      </c>
      <c r="H41" s="62" t="s">
        <v>186</v>
      </c>
      <c r="I41" s="63">
        <v>0.32</v>
      </c>
      <c r="P41" s="2" t="s">
        <v>340</v>
      </c>
      <c r="Q41" s="2">
        <v>0</v>
      </c>
    </row>
    <row r="42" spans="1:17" x14ac:dyDescent="0.2">
      <c r="A42" s="62" t="s">
        <v>187</v>
      </c>
      <c r="B42" s="63">
        <v>0.5</v>
      </c>
      <c r="H42" s="62" t="s">
        <v>187</v>
      </c>
      <c r="I42" s="63">
        <v>0.5</v>
      </c>
      <c r="P42" s="2" t="s">
        <v>341</v>
      </c>
      <c r="Q42" s="2">
        <v>0</v>
      </c>
    </row>
    <row r="43" spans="1:17" x14ac:dyDescent="0.2">
      <c r="A43" s="62" t="s">
        <v>188</v>
      </c>
      <c r="B43" s="63">
        <v>0.5</v>
      </c>
      <c r="H43" s="62" t="s">
        <v>188</v>
      </c>
      <c r="I43" s="63">
        <v>0.5</v>
      </c>
      <c r="P43" s="2" t="s">
        <v>342</v>
      </c>
      <c r="Q43" s="2">
        <v>0</v>
      </c>
    </row>
    <row r="44" spans="1:17" ht="10.8" thickBot="1" x14ac:dyDescent="0.25">
      <c r="A44" s="64" t="s">
        <v>189</v>
      </c>
      <c r="B44" s="65">
        <v>0.75</v>
      </c>
      <c r="H44" s="64" t="s">
        <v>189</v>
      </c>
      <c r="I44" s="65">
        <v>0.75</v>
      </c>
      <c r="P44" s="2" t="s">
        <v>343</v>
      </c>
      <c r="Q44" s="2">
        <v>4</v>
      </c>
    </row>
    <row r="45" spans="1:17" ht="10.8" thickBot="1" x14ac:dyDescent="0.25">
      <c r="P45" s="2" t="s">
        <v>344</v>
      </c>
      <c r="Q45" s="2">
        <v>4</v>
      </c>
    </row>
    <row r="46" spans="1:17" ht="10.8" thickBot="1" x14ac:dyDescent="0.25">
      <c r="A46" s="60" t="s">
        <v>195</v>
      </c>
      <c r="B46" s="61" t="s">
        <v>153</v>
      </c>
      <c r="H46" s="60" t="s">
        <v>195</v>
      </c>
      <c r="I46" s="61" t="s">
        <v>153</v>
      </c>
      <c r="P46" s="2" t="s">
        <v>345</v>
      </c>
      <c r="Q46" s="2">
        <v>3</v>
      </c>
    </row>
    <row r="47" spans="1:17" x14ac:dyDescent="0.2">
      <c r="A47" s="62" t="s">
        <v>35</v>
      </c>
      <c r="B47" s="63">
        <v>0.125</v>
      </c>
      <c r="H47" s="62" t="s">
        <v>35</v>
      </c>
      <c r="I47" s="63">
        <v>0.125</v>
      </c>
      <c r="P47" s="2" t="s">
        <v>346</v>
      </c>
      <c r="Q47" s="2">
        <v>0</v>
      </c>
    </row>
    <row r="48" spans="1:17" ht="10.8" thickBot="1" x14ac:dyDescent="0.25">
      <c r="A48" s="64" t="s">
        <v>37</v>
      </c>
      <c r="B48" s="65">
        <v>2.2499999999999999E-2</v>
      </c>
      <c r="H48" s="64" t="s">
        <v>37</v>
      </c>
      <c r="I48" s="65">
        <v>2.5000000000000001E-2</v>
      </c>
      <c r="P48" s="2" t="s">
        <v>347</v>
      </c>
      <c r="Q48" s="2">
        <v>4</v>
      </c>
    </row>
    <row r="49" spans="1:17" ht="10.8" thickBot="1" x14ac:dyDescent="0.25">
      <c r="P49" s="2" t="s">
        <v>348</v>
      </c>
      <c r="Q49" s="2">
        <v>0</v>
      </c>
    </row>
    <row r="50" spans="1:17" ht="10.8" thickBot="1" x14ac:dyDescent="0.25">
      <c r="A50" s="60" t="s">
        <v>196</v>
      </c>
      <c r="B50" s="61" t="s">
        <v>153</v>
      </c>
      <c r="H50" s="60" t="s">
        <v>182</v>
      </c>
      <c r="I50" s="61" t="s">
        <v>153</v>
      </c>
      <c r="P50" s="2" t="s">
        <v>349</v>
      </c>
      <c r="Q50" s="2">
        <v>1</v>
      </c>
    </row>
    <row r="51" spans="1:17" x14ac:dyDescent="0.2">
      <c r="A51" s="62" t="s">
        <v>183</v>
      </c>
      <c r="B51" s="63">
        <v>0.14000000000000001</v>
      </c>
      <c r="H51" s="62" t="s">
        <v>183</v>
      </c>
      <c r="I51" s="63">
        <f>14%+1.29%</f>
        <v>0.15290000000000001</v>
      </c>
      <c r="J51" s="2" t="s">
        <v>207</v>
      </c>
      <c r="P51" s="2" t="s">
        <v>350</v>
      </c>
      <c r="Q51" s="2">
        <v>1</v>
      </c>
    </row>
    <row r="52" spans="1:17" x14ac:dyDescent="0.2">
      <c r="A52" s="62" t="s">
        <v>40</v>
      </c>
      <c r="B52" s="63">
        <v>8.1500000000000003E-2</v>
      </c>
      <c r="H52" s="62" t="s">
        <v>40</v>
      </c>
      <c r="I52" s="63">
        <v>8.1500000000000003E-2</v>
      </c>
      <c r="P52" s="2" t="s">
        <v>351</v>
      </c>
      <c r="Q52" s="2">
        <v>0</v>
      </c>
    </row>
    <row r="53" spans="1:17" ht="21" thickBot="1" x14ac:dyDescent="0.25">
      <c r="A53" s="64" t="s">
        <v>94</v>
      </c>
      <c r="B53" s="65">
        <v>8.1500000000000003E-2</v>
      </c>
      <c r="H53" s="64" t="s">
        <v>94</v>
      </c>
      <c r="I53" s="65">
        <v>8.1500000000000003E-2</v>
      </c>
      <c r="P53" s="2" t="s">
        <v>416</v>
      </c>
      <c r="Q53" s="2">
        <v>4</v>
      </c>
    </row>
    <row r="54" spans="1:17" x14ac:dyDescent="0.2">
      <c r="P54" s="2" t="s">
        <v>352</v>
      </c>
      <c r="Q54" s="2">
        <v>2</v>
      </c>
    </row>
    <row r="55" spans="1:17" ht="10.8" thickBot="1" x14ac:dyDescent="0.25">
      <c r="P55" s="2" t="s">
        <v>353</v>
      </c>
      <c r="Q55" s="2">
        <v>0</v>
      </c>
    </row>
    <row r="56" spans="1:17" ht="10.8" thickBot="1" x14ac:dyDescent="0.25">
      <c r="A56" s="66" t="s">
        <v>193</v>
      </c>
      <c r="B56" s="67" t="s">
        <v>208</v>
      </c>
      <c r="H56" s="266" t="s">
        <v>302</v>
      </c>
      <c r="I56" s="267">
        <v>46023</v>
      </c>
      <c r="J56" s="268">
        <v>46204</v>
      </c>
      <c r="P56" s="2" t="s">
        <v>354</v>
      </c>
      <c r="Q56" s="2">
        <v>2</v>
      </c>
    </row>
    <row r="57" spans="1:17" ht="10.8" thickBot="1" x14ac:dyDescent="0.25">
      <c r="A57" s="68"/>
      <c r="B57" s="69">
        <v>0.47</v>
      </c>
      <c r="H57" s="269" t="s">
        <v>74</v>
      </c>
      <c r="I57" s="270">
        <v>46.7</v>
      </c>
      <c r="J57" s="271">
        <v>47.5</v>
      </c>
      <c r="P57" s="2" t="s">
        <v>355</v>
      </c>
      <c r="Q57" s="2">
        <v>0</v>
      </c>
    </row>
    <row r="58" spans="1:17" x14ac:dyDescent="0.2">
      <c r="G58" s="70"/>
      <c r="H58" s="269" t="s">
        <v>75</v>
      </c>
      <c r="I58" s="270">
        <v>0</v>
      </c>
      <c r="J58" s="271">
        <v>17.399999999999999</v>
      </c>
      <c r="P58" s="2" t="s">
        <v>356</v>
      </c>
      <c r="Q58" s="2">
        <v>0</v>
      </c>
    </row>
    <row r="59" spans="1:17" x14ac:dyDescent="0.2">
      <c r="G59" s="70"/>
      <c r="H59" s="269" t="s">
        <v>418</v>
      </c>
      <c r="I59" s="270"/>
      <c r="J59" s="271">
        <v>4.8</v>
      </c>
      <c r="P59" s="2" t="s">
        <v>357</v>
      </c>
      <c r="Q59" s="2">
        <v>4</v>
      </c>
    </row>
    <row r="60" spans="1:17" ht="20.399999999999999" x14ac:dyDescent="0.2">
      <c r="H60" s="272" t="s">
        <v>93</v>
      </c>
      <c r="I60" s="273">
        <v>0</v>
      </c>
      <c r="J60" s="271">
        <v>82.4</v>
      </c>
      <c r="P60" s="2" t="s">
        <v>358</v>
      </c>
      <c r="Q60" s="2">
        <v>0</v>
      </c>
    </row>
    <row r="61" spans="1:17" x14ac:dyDescent="0.2">
      <c r="H61" s="272" t="s">
        <v>419</v>
      </c>
      <c r="I61" s="273"/>
      <c r="J61" s="271">
        <v>4.5999999999999996</v>
      </c>
      <c r="P61" s="2" t="s">
        <v>359</v>
      </c>
      <c r="Q61" s="2">
        <v>0</v>
      </c>
    </row>
    <row r="62" spans="1:17" ht="10.8" thickBot="1" x14ac:dyDescent="0.25">
      <c r="H62" s="272" t="s">
        <v>96</v>
      </c>
      <c r="I62" s="273">
        <v>0</v>
      </c>
      <c r="J62" s="271">
        <v>0</v>
      </c>
      <c r="P62" s="2" t="s">
        <v>360</v>
      </c>
      <c r="Q62" s="2">
        <v>0</v>
      </c>
    </row>
    <row r="63" spans="1:17" ht="10.8" thickBot="1" x14ac:dyDescent="0.25">
      <c r="A63" s="329" t="s">
        <v>191</v>
      </c>
      <c r="B63" s="330"/>
      <c r="C63" s="331"/>
      <c r="D63" s="67" t="s">
        <v>153</v>
      </c>
      <c r="H63" s="274" t="s">
        <v>76</v>
      </c>
      <c r="I63" s="336">
        <f>+SUM(I57:J62)/2</f>
        <v>101.7</v>
      </c>
      <c r="J63" s="337"/>
      <c r="P63" s="2" t="s">
        <v>361</v>
      </c>
      <c r="Q63" s="2">
        <v>0</v>
      </c>
    </row>
    <row r="64" spans="1:17" ht="10.8" thickBot="1" x14ac:dyDescent="0.25">
      <c r="A64" s="73"/>
      <c r="B64" s="335" t="s">
        <v>192</v>
      </c>
      <c r="C64" s="333"/>
      <c r="D64" s="74">
        <v>0.5</v>
      </c>
      <c r="H64" s="71"/>
      <c r="I64" s="72"/>
      <c r="J64" s="72"/>
      <c r="P64" s="2" t="s">
        <v>362</v>
      </c>
      <c r="Q64" s="2">
        <v>0</v>
      </c>
    </row>
    <row r="65" spans="1:17" x14ac:dyDescent="0.2">
      <c r="P65" s="2" t="s">
        <v>363</v>
      </c>
      <c r="Q65" s="2">
        <v>0</v>
      </c>
    </row>
    <row r="66" spans="1:17" ht="10.8" thickBot="1" x14ac:dyDescent="0.25">
      <c r="P66" s="2" t="s">
        <v>364</v>
      </c>
      <c r="Q66" s="2">
        <v>1</v>
      </c>
    </row>
    <row r="67" spans="1:17" ht="10.8" thickBot="1" x14ac:dyDescent="0.25">
      <c r="A67" s="329" t="s">
        <v>202</v>
      </c>
      <c r="B67" s="330"/>
      <c r="C67" s="331"/>
      <c r="D67" s="67" t="s">
        <v>82</v>
      </c>
      <c r="H67" s="329" t="s">
        <v>202</v>
      </c>
      <c r="I67" s="330"/>
      <c r="J67" s="331"/>
      <c r="K67" s="67" t="s">
        <v>82</v>
      </c>
      <c r="P67" s="2" t="s">
        <v>365</v>
      </c>
      <c r="Q67" s="2">
        <v>1</v>
      </c>
    </row>
    <row r="68" spans="1:17" ht="10.8" thickBot="1" x14ac:dyDescent="0.25">
      <c r="A68" s="73"/>
      <c r="B68" s="335" t="s">
        <v>86</v>
      </c>
      <c r="C68" s="333"/>
      <c r="D68" s="69">
        <v>400</v>
      </c>
      <c r="H68" s="68"/>
      <c r="I68" s="332" t="s">
        <v>86</v>
      </c>
      <c r="J68" s="333"/>
      <c r="K68" s="69">
        <v>452.48</v>
      </c>
      <c r="P68" s="2" t="s">
        <v>366</v>
      </c>
      <c r="Q68" s="2">
        <v>0</v>
      </c>
    </row>
    <row r="69" spans="1:17" x14ac:dyDescent="0.2">
      <c r="P69" s="2" t="s">
        <v>367</v>
      </c>
      <c r="Q69" s="2">
        <v>1</v>
      </c>
    </row>
    <row r="70" spans="1:17" ht="10.8" thickBot="1" x14ac:dyDescent="0.25">
      <c r="P70" s="2" t="s">
        <v>368</v>
      </c>
      <c r="Q70" s="2">
        <v>0</v>
      </c>
    </row>
    <row r="71" spans="1:17" ht="10.8" thickBot="1" x14ac:dyDescent="0.25">
      <c r="A71" s="329" t="s">
        <v>201</v>
      </c>
      <c r="B71" s="330"/>
      <c r="C71" s="331"/>
      <c r="D71" s="67" t="s">
        <v>153</v>
      </c>
      <c r="H71" s="3"/>
      <c r="I71" s="3"/>
      <c r="J71" s="3"/>
      <c r="P71" s="2" t="s">
        <v>369</v>
      </c>
      <c r="Q71" s="2">
        <v>0</v>
      </c>
    </row>
    <row r="72" spans="1:17" ht="10.8" thickBot="1" x14ac:dyDescent="0.25">
      <c r="A72" s="73"/>
      <c r="B72" s="335" t="s">
        <v>205</v>
      </c>
      <c r="C72" s="333"/>
      <c r="D72" s="74">
        <v>0.5</v>
      </c>
      <c r="H72" s="75"/>
      <c r="I72" s="302"/>
      <c r="J72" s="302"/>
      <c r="K72" s="20"/>
      <c r="P72" s="2" t="s">
        <v>370</v>
      </c>
      <c r="Q72" s="2">
        <v>0</v>
      </c>
    </row>
    <row r="73" spans="1:17" x14ac:dyDescent="0.2">
      <c r="A73" s="75"/>
      <c r="B73" s="9"/>
      <c r="C73" s="9"/>
      <c r="D73" s="76"/>
      <c r="H73" s="75"/>
      <c r="I73" s="302"/>
      <c r="J73" s="302"/>
      <c r="K73" s="20"/>
      <c r="P73" s="2" t="s">
        <v>371</v>
      </c>
      <c r="Q73" s="2">
        <v>0</v>
      </c>
    </row>
    <row r="74" spans="1:17" x14ac:dyDescent="0.2">
      <c r="P74" s="2" t="s">
        <v>372</v>
      </c>
      <c r="Q74" s="2">
        <v>0</v>
      </c>
    </row>
    <row r="75" spans="1:17" ht="16.2" x14ac:dyDescent="0.3">
      <c r="A75" s="59" t="s">
        <v>209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P75" s="2" t="s">
        <v>373</v>
      </c>
      <c r="Q75" s="2">
        <v>2</v>
      </c>
    </row>
    <row r="76" spans="1:17" x14ac:dyDescent="0.2">
      <c r="P76" s="2" t="s">
        <v>374</v>
      </c>
      <c r="Q76" s="2">
        <v>4</v>
      </c>
    </row>
    <row r="77" spans="1:17" ht="10.8" thickBot="1" x14ac:dyDescent="0.25">
      <c r="A77" s="3"/>
      <c r="P77" s="2" t="s">
        <v>375</v>
      </c>
      <c r="Q77" s="2">
        <v>4</v>
      </c>
    </row>
    <row r="78" spans="1:17" ht="10.8" thickBot="1" x14ac:dyDescent="0.25">
      <c r="A78" s="60" t="s">
        <v>204</v>
      </c>
      <c r="B78" s="340" t="s">
        <v>59</v>
      </c>
      <c r="C78" s="341"/>
      <c r="D78" s="67" t="s">
        <v>54</v>
      </c>
      <c r="E78" s="77" t="s">
        <v>52</v>
      </c>
      <c r="F78" s="78" t="s">
        <v>50</v>
      </c>
      <c r="P78" s="2" t="s">
        <v>376</v>
      </c>
      <c r="Q78" s="2">
        <v>0</v>
      </c>
    </row>
    <row r="79" spans="1:17" x14ac:dyDescent="0.2">
      <c r="A79" s="79" t="s">
        <v>53</v>
      </c>
      <c r="B79" s="342" t="s">
        <v>61</v>
      </c>
      <c r="C79" s="343"/>
      <c r="D79" s="80"/>
      <c r="E79" s="80"/>
      <c r="F79" s="81">
        <f>('BPA-HHOK'!C46+'BPA-HHOK'!E46)*(365/7)+'BPA-HHOK'!D46+'BPA-HHOK'!E51*'BPA-HHOK'!F51+'BPA-HHOK'!E53*'BPA-HHOK'!F53</f>
        <v>0</v>
      </c>
      <c r="P79" s="2" t="s">
        <v>377</v>
      </c>
      <c r="Q79" s="2">
        <v>0</v>
      </c>
    </row>
    <row r="80" spans="1:17" x14ac:dyDescent="0.2">
      <c r="A80" s="82" t="s">
        <v>2</v>
      </c>
      <c r="B80" s="342" t="s">
        <v>51</v>
      </c>
      <c r="C80" s="343"/>
      <c r="D80" s="188">
        <v>198</v>
      </c>
      <c r="E80" s="80">
        <f>+D80*3</f>
        <v>594</v>
      </c>
      <c r="F80" s="83">
        <f>E80*4</f>
        <v>2376</v>
      </c>
      <c r="P80" s="2" t="s">
        <v>378</v>
      </c>
      <c r="Q80" s="2">
        <v>1</v>
      </c>
    </row>
    <row r="81" spans="1:17" x14ac:dyDescent="0.2">
      <c r="A81" s="82" t="s">
        <v>46</v>
      </c>
      <c r="B81" s="342" t="s">
        <v>51</v>
      </c>
      <c r="C81" s="343"/>
      <c r="D81" s="80"/>
      <c r="E81" s="188">
        <v>764</v>
      </c>
      <c r="F81" s="83">
        <f>E81*4</f>
        <v>3056</v>
      </c>
      <c r="P81" s="2" t="s">
        <v>379</v>
      </c>
      <c r="Q81" s="2">
        <v>0</v>
      </c>
    </row>
    <row r="82" spans="1:17" x14ac:dyDescent="0.2">
      <c r="A82" s="82" t="s">
        <v>41</v>
      </c>
      <c r="B82" s="342" t="s">
        <v>51</v>
      </c>
      <c r="C82" s="343"/>
      <c r="D82" s="80"/>
      <c r="E82" s="80"/>
      <c r="F82" s="83">
        <v>457</v>
      </c>
      <c r="P82" s="2" t="s">
        <v>380</v>
      </c>
      <c r="Q82" s="2">
        <v>1</v>
      </c>
    </row>
    <row r="83" spans="1:17" x14ac:dyDescent="0.2">
      <c r="A83" s="82" t="s">
        <v>77</v>
      </c>
      <c r="B83" s="342" t="s">
        <v>51</v>
      </c>
      <c r="C83" s="343"/>
      <c r="D83" s="80"/>
      <c r="E83" s="80">
        <v>0</v>
      </c>
      <c r="F83" s="83">
        <f>+E83*4</f>
        <v>0</v>
      </c>
      <c r="P83" s="2" t="s">
        <v>381</v>
      </c>
      <c r="Q83" s="2">
        <v>2</v>
      </c>
    </row>
    <row r="84" spans="1:17" x14ac:dyDescent="0.2">
      <c r="A84" s="82" t="s">
        <v>56</v>
      </c>
      <c r="B84" s="342" t="s">
        <v>55</v>
      </c>
      <c r="C84" s="343"/>
      <c r="D84" s="80">
        <v>117</v>
      </c>
      <c r="E84" s="80"/>
      <c r="F84" s="83">
        <f>D84*12</f>
        <v>1404</v>
      </c>
      <c r="P84" s="2" t="s">
        <v>382</v>
      </c>
      <c r="Q84" s="2">
        <v>0</v>
      </c>
    </row>
    <row r="85" spans="1:17" x14ac:dyDescent="0.2">
      <c r="A85" s="82" t="s">
        <v>57</v>
      </c>
      <c r="B85" s="342" t="s">
        <v>60</v>
      </c>
      <c r="C85" s="343"/>
      <c r="D85" s="80"/>
      <c r="E85" s="80"/>
      <c r="F85" s="83">
        <f>F79/F84</f>
        <v>0</v>
      </c>
      <c r="P85" s="2" t="s">
        <v>383</v>
      </c>
      <c r="Q85" s="2">
        <v>0</v>
      </c>
    </row>
    <row r="86" spans="1:17" x14ac:dyDescent="0.2">
      <c r="A86" s="82" t="s">
        <v>2</v>
      </c>
      <c r="B86" s="342" t="s">
        <v>58</v>
      </c>
      <c r="C86" s="343"/>
      <c r="D86" s="80"/>
      <c r="E86" s="80"/>
      <c r="F86" s="83">
        <f>F$85*F80</f>
        <v>0</v>
      </c>
      <c r="P86" s="2" t="s">
        <v>384</v>
      </c>
      <c r="Q86" s="2">
        <v>0</v>
      </c>
    </row>
    <row r="87" spans="1:17" x14ac:dyDescent="0.2">
      <c r="A87" s="82" t="s">
        <v>46</v>
      </c>
      <c r="B87" s="342" t="s">
        <v>58</v>
      </c>
      <c r="C87" s="343"/>
      <c r="D87" s="80"/>
      <c r="E87" s="80"/>
      <c r="F87" s="83">
        <f>F$85*F81</f>
        <v>0</v>
      </c>
      <c r="P87" s="2" t="s">
        <v>385</v>
      </c>
      <c r="Q87" s="2">
        <v>0</v>
      </c>
    </row>
    <row r="88" spans="1:17" x14ac:dyDescent="0.2">
      <c r="A88" s="84" t="s">
        <v>41</v>
      </c>
      <c r="B88" s="344" t="s">
        <v>58</v>
      </c>
      <c r="C88" s="345"/>
      <c r="D88" s="85"/>
      <c r="E88" s="85"/>
      <c r="F88" s="86">
        <f>F$85*F82</f>
        <v>0</v>
      </c>
      <c r="P88" s="2" t="s">
        <v>386</v>
      </c>
      <c r="Q88" s="2">
        <v>0</v>
      </c>
    </row>
    <row r="89" spans="1:17" x14ac:dyDescent="0.2">
      <c r="A89" s="82" t="s">
        <v>77</v>
      </c>
      <c r="B89" s="342" t="s">
        <v>58</v>
      </c>
      <c r="C89" s="346"/>
      <c r="D89" s="87"/>
      <c r="E89" s="85"/>
      <c r="F89" s="86">
        <f>F$85*F83</f>
        <v>0</v>
      </c>
      <c r="P89" s="2" t="s">
        <v>387</v>
      </c>
      <c r="Q89" s="2">
        <v>1</v>
      </c>
    </row>
    <row r="90" spans="1:17" ht="21" thickBot="1" x14ac:dyDescent="0.25">
      <c r="A90" s="297" t="s">
        <v>421</v>
      </c>
      <c r="B90" s="335" t="s">
        <v>64</v>
      </c>
      <c r="C90" s="333"/>
      <c r="D90" s="74">
        <v>3.5000000000000003E-2</v>
      </c>
      <c r="E90" s="89">
        <v>3.5000000000000003E-2</v>
      </c>
      <c r="F90" s="90">
        <v>3.5000000000000003E-2</v>
      </c>
      <c r="P90" s="2" t="s">
        <v>388</v>
      </c>
      <c r="Q90" s="2">
        <v>0</v>
      </c>
    </row>
    <row r="91" spans="1:17" x14ac:dyDescent="0.2">
      <c r="A91" s="91" t="s">
        <v>211</v>
      </c>
      <c r="P91" s="2" t="s">
        <v>389</v>
      </c>
      <c r="Q91" s="2">
        <v>0</v>
      </c>
    </row>
    <row r="92" spans="1:17" ht="10.8" thickBot="1" x14ac:dyDescent="0.25">
      <c r="P92" s="2" t="s">
        <v>390</v>
      </c>
      <c r="Q92" s="2">
        <v>4</v>
      </c>
    </row>
    <row r="93" spans="1:17" ht="10.8" thickBot="1" x14ac:dyDescent="0.25">
      <c r="A93" s="60" t="s">
        <v>203</v>
      </c>
      <c r="B93" s="340" t="s">
        <v>59</v>
      </c>
      <c r="C93" s="341"/>
      <c r="D93" s="67" t="s">
        <v>82</v>
      </c>
      <c r="E93" s="78" t="s">
        <v>85</v>
      </c>
      <c r="P93" s="2" t="s">
        <v>391</v>
      </c>
      <c r="Q93" s="2">
        <v>4</v>
      </c>
    </row>
    <row r="94" spans="1:17" ht="10.8" thickBot="1" x14ac:dyDescent="0.25">
      <c r="A94" s="73">
        <v>46023</v>
      </c>
      <c r="B94" s="335" t="s">
        <v>86</v>
      </c>
      <c r="C94" s="333"/>
      <c r="D94" s="69">
        <v>2200</v>
      </c>
      <c r="E94" s="92">
        <f>+D94/$F$84</f>
        <v>1.566951566951567</v>
      </c>
      <c r="P94" s="2" t="s">
        <v>392</v>
      </c>
      <c r="Q94" s="2">
        <v>0</v>
      </c>
    </row>
    <row r="95" spans="1:17" ht="10.8" thickBot="1" x14ac:dyDescent="0.25">
      <c r="P95" s="2" t="s">
        <v>393</v>
      </c>
      <c r="Q95" s="2">
        <v>0</v>
      </c>
    </row>
    <row r="96" spans="1:17" x14ac:dyDescent="0.2">
      <c r="A96" s="260" t="s">
        <v>266</v>
      </c>
      <c r="B96" s="340" t="s">
        <v>59</v>
      </c>
      <c r="C96" s="341"/>
      <c r="D96" s="263" t="s">
        <v>82</v>
      </c>
      <c r="P96" s="2" t="s">
        <v>394</v>
      </c>
      <c r="Q96" s="2">
        <v>0</v>
      </c>
    </row>
    <row r="97" spans="1:17" ht="10.8" thickBot="1" x14ac:dyDescent="0.25">
      <c r="A97" s="261" t="s">
        <v>282</v>
      </c>
      <c r="B97" s="335" t="s">
        <v>86</v>
      </c>
      <c r="C97" s="333"/>
      <c r="D97" s="262">
        <v>20</v>
      </c>
      <c r="P97" s="2" t="s">
        <v>395</v>
      </c>
      <c r="Q97" s="2">
        <v>0</v>
      </c>
    </row>
    <row r="98" spans="1:17" x14ac:dyDescent="0.2">
      <c r="P98" s="2" t="s">
        <v>396</v>
      </c>
      <c r="Q98" s="2">
        <v>0</v>
      </c>
    </row>
    <row r="99" spans="1:17" ht="16.2" x14ac:dyDescent="0.3">
      <c r="A99" s="59" t="s">
        <v>214</v>
      </c>
      <c r="B99" s="13"/>
      <c r="C99" s="13"/>
      <c r="D99" s="13"/>
      <c r="E99" s="13"/>
      <c r="F99" s="13"/>
      <c r="G99" s="13"/>
      <c r="H99" s="13"/>
      <c r="P99" s="2" t="s">
        <v>397</v>
      </c>
      <c r="Q99" s="2">
        <v>0</v>
      </c>
    </row>
    <row r="100" spans="1:17" x14ac:dyDescent="0.2">
      <c r="P100" s="2" t="s">
        <v>398</v>
      </c>
      <c r="Q100" s="2">
        <v>0</v>
      </c>
    </row>
    <row r="101" spans="1:17" ht="10.8" thickBot="1" x14ac:dyDescent="0.25">
      <c r="I101" s="13"/>
      <c r="J101" s="13"/>
      <c r="K101" s="13"/>
      <c r="P101" s="2" t="s">
        <v>399</v>
      </c>
      <c r="Q101" s="2">
        <v>0</v>
      </c>
    </row>
    <row r="102" spans="1:17" ht="10.8" thickBot="1" x14ac:dyDescent="0.25">
      <c r="A102" s="60" t="s">
        <v>258</v>
      </c>
      <c r="B102" s="340" t="s">
        <v>177</v>
      </c>
      <c r="C102" s="341"/>
      <c r="D102" s="93" t="s">
        <v>178</v>
      </c>
      <c r="P102" s="2" t="s">
        <v>400</v>
      </c>
      <c r="Q102" s="2">
        <v>0</v>
      </c>
    </row>
    <row r="103" spans="1:17" x14ac:dyDescent="0.2">
      <c r="A103" s="94" t="s">
        <v>212</v>
      </c>
      <c r="B103" s="342" t="s">
        <v>414</v>
      </c>
      <c r="C103" s="343"/>
      <c r="D103" s="97">
        <v>0</v>
      </c>
      <c r="P103" s="2" t="s">
        <v>401</v>
      </c>
      <c r="Q103" s="2">
        <v>1</v>
      </c>
    </row>
    <row r="104" spans="1:17" x14ac:dyDescent="0.2">
      <c r="A104" s="95" t="s">
        <v>120</v>
      </c>
      <c r="B104" s="342" t="s">
        <v>179</v>
      </c>
      <c r="C104" s="343"/>
      <c r="D104" s="97">
        <v>0</v>
      </c>
      <c r="P104" s="2" t="s">
        <v>402</v>
      </c>
      <c r="Q104" s="2">
        <v>2</v>
      </c>
    </row>
    <row r="105" spans="1:17" ht="10.8" thickBot="1" x14ac:dyDescent="0.25">
      <c r="A105" s="96" t="s">
        <v>118</v>
      </c>
      <c r="B105" s="335" t="s">
        <v>180</v>
      </c>
      <c r="C105" s="347"/>
      <c r="D105" s="275">
        <v>3.94</v>
      </c>
      <c r="E105" s="2" t="s">
        <v>213</v>
      </c>
    </row>
    <row r="106" spans="1:17" ht="10.8" thickBot="1" x14ac:dyDescent="0.25"/>
    <row r="107" spans="1:17" ht="10.8" thickBot="1" x14ac:dyDescent="0.25">
      <c r="A107" s="60" t="s">
        <v>181</v>
      </c>
      <c r="B107" s="340" t="s">
        <v>59</v>
      </c>
      <c r="C107" s="341"/>
      <c r="D107" s="67" t="s">
        <v>50</v>
      </c>
      <c r="E107" s="78" t="s">
        <v>85</v>
      </c>
    </row>
    <row r="108" spans="1:17" ht="10.8" thickBot="1" x14ac:dyDescent="0.25">
      <c r="A108" s="289" t="s">
        <v>412</v>
      </c>
      <c r="B108" s="335" t="s">
        <v>86</v>
      </c>
      <c r="C108" s="333"/>
      <c r="D108" s="288">
        <v>0</v>
      </c>
      <c r="E108" s="287">
        <v>0</v>
      </c>
    </row>
  </sheetData>
  <sheetProtection algorithmName="SHA-512" hashValue="rUWBSDFdjCQNlgd4OdCRskHKMmxR6F2LUgP++ONf9l+Cy8IviQwurvt2CifaFY11DSPglVhuEGw4koi8nNN62g==" saltValue="goAYeHGyAgZYpOK9NqJbNw==" spinCount="100000" sheet="1" objects="1" scenarios="1"/>
  <mergeCells count="37">
    <mergeCell ref="B108:C108"/>
    <mergeCell ref="A71:C71"/>
    <mergeCell ref="B72:C72"/>
    <mergeCell ref="B79:C79"/>
    <mergeCell ref="B78:C78"/>
    <mergeCell ref="B90:C90"/>
    <mergeCell ref="B80:C80"/>
    <mergeCell ref="B81:C81"/>
    <mergeCell ref="B82:C82"/>
    <mergeCell ref="B94:C94"/>
    <mergeCell ref="B88:C88"/>
    <mergeCell ref="B83:C83"/>
    <mergeCell ref="B89:C89"/>
    <mergeCell ref="B105:C105"/>
    <mergeCell ref="B96:C96"/>
    <mergeCell ref="B97:C97"/>
    <mergeCell ref="B107:C107"/>
    <mergeCell ref="B104:C104"/>
    <mergeCell ref="B68:C68"/>
    <mergeCell ref="A67:C67"/>
    <mergeCell ref="B93:C93"/>
    <mergeCell ref="B84:C84"/>
    <mergeCell ref="B85:C85"/>
    <mergeCell ref="B86:C86"/>
    <mergeCell ref="B87:C87"/>
    <mergeCell ref="B102:C102"/>
    <mergeCell ref="B103:C103"/>
    <mergeCell ref="H3:J3"/>
    <mergeCell ref="H67:J67"/>
    <mergeCell ref="I68:J68"/>
    <mergeCell ref="H35:K35"/>
    <mergeCell ref="A63:C63"/>
    <mergeCell ref="B64:C64"/>
    <mergeCell ref="A35:D35"/>
    <mergeCell ref="I63:J63"/>
    <mergeCell ref="A6:D6"/>
    <mergeCell ref="C8:G8"/>
  </mergeCells>
  <pageMargins left="0.7" right="0.7" top="0.75" bottom="0.75" header="0.3" footer="0.3"/>
  <pageSetup paperSize="8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tabSelected="1" zoomScaleNormal="100" workbookViewId="0">
      <selection activeCell="B4" sqref="B4:C4"/>
    </sheetView>
  </sheetViews>
  <sheetFormatPr defaultColWidth="9.33203125" defaultRowHeight="12.6" outlineLevelCol="1" x14ac:dyDescent="0.2"/>
  <cols>
    <col min="1" max="1" width="37.33203125" style="100" customWidth="1"/>
    <col min="2" max="2" width="10" style="100" customWidth="1"/>
    <col min="3" max="3" width="14.109375" style="100" customWidth="1"/>
    <col min="4" max="4" width="18.44140625" style="100" customWidth="1"/>
    <col min="5" max="5" width="19.109375" style="100" bestFit="1" customWidth="1"/>
    <col min="6" max="6" width="15" style="100" bestFit="1" customWidth="1"/>
    <col min="7" max="7" width="11.109375" style="100" customWidth="1"/>
    <col min="8" max="8" width="11.33203125" style="100" customWidth="1"/>
    <col min="9" max="9" width="12.109375" style="100" bestFit="1" customWidth="1"/>
    <col min="10" max="12" width="9.44140625" style="100" bestFit="1" customWidth="1"/>
    <col min="13" max="13" width="17.44140625" style="100" bestFit="1" customWidth="1"/>
    <col min="14" max="14" width="14.33203125" style="100" hidden="1" customWidth="1" outlineLevel="1"/>
    <col min="15" max="15" width="16" style="100" hidden="1" customWidth="1" outlineLevel="1"/>
    <col min="16" max="16" width="16.33203125" style="100" bestFit="1" customWidth="1" collapsed="1"/>
    <col min="17" max="17" width="19.6640625" style="100" bestFit="1" customWidth="1"/>
    <col min="18" max="19" width="15.33203125" style="100" bestFit="1" customWidth="1"/>
    <col min="20" max="20" width="18.6640625" style="100" customWidth="1"/>
    <col min="21" max="21" width="14.44140625" style="100" customWidth="1"/>
    <col min="22" max="16384" width="9.33203125" style="100"/>
  </cols>
  <sheetData>
    <row r="1" spans="1:21" ht="18" thickBot="1" x14ac:dyDescent="0.35">
      <c r="A1" s="98" t="s">
        <v>97</v>
      </c>
      <c r="B1" s="99"/>
      <c r="C1" s="99"/>
      <c r="D1" s="99"/>
      <c r="E1" s="99"/>
      <c r="F1" s="99"/>
      <c r="G1" s="99"/>
      <c r="H1" s="99"/>
      <c r="I1" s="99"/>
      <c r="J1" s="99"/>
    </row>
    <row r="2" spans="1:21" ht="16.8" thickBot="1" x14ac:dyDescent="0.35">
      <c r="A2" s="101" t="s">
        <v>286</v>
      </c>
      <c r="B2" s="99"/>
      <c r="C2" s="99"/>
      <c r="D2" s="99"/>
      <c r="E2" s="99"/>
      <c r="F2" s="99"/>
      <c r="G2" s="99"/>
      <c r="H2" s="99"/>
      <c r="I2" s="349" t="s">
        <v>256</v>
      </c>
      <c r="J2" s="350"/>
      <c r="K2" s="350"/>
      <c r="L2" s="350"/>
      <c r="M2" s="351"/>
    </row>
    <row r="3" spans="1:21" ht="16.2" x14ac:dyDescent="0.3">
      <c r="A3" s="101"/>
      <c r="B3" s="99"/>
      <c r="C3" s="99"/>
      <c r="D3" s="99"/>
      <c r="E3" s="99"/>
      <c r="F3" s="99"/>
      <c r="G3" s="99"/>
      <c r="H3" s="99"/>
      <c r="I3" s="99"/>
      <c r="J3" s="99"/>
    </row>
    <row r="4" spans="1:21" ht="16.8" thickBot="1" x14ac:dyDescent="0.35">
      <c r="A4" s="102" t="s">
        <v>3</v>
      </c>
      <c r="B4" s="357" t="s">
        <v>398</v>
      </c>
      <c r="C4" s="358"/>
      <c r="E4" s="103" t="s">
        <v>176</v>
      </c>
      <c r="F4" s="292">
        <f>+VLOOKUP(B4,Kommunenavn,2)</f>
        <v>0</v>
      </c>
      <c r="H4" s="102" t="s">
        <v>4</v>
      </c>
      <c r="J4" s="199"/>
      <c r="K4" s="201"/>
      <c r="L4" s="200"/>
      <c r="O4" s="102"/>
    </row>
    <row r="5" spans="1:21" ht="21.6" x14ac:dyDescent="0.3">
      <c r="A5" s="3" t="s">
        <v>5</v>
      </c>
      <c r="B5" s="2"/>
      <c r="C5" s="202">
        <f>Forudsætninger!B8</f>
        <v>46296</v>
      </c>
      <c r="E5" s="103"/>
      <c r="F5" s="104"/>
      <c r="H5" s="102"/>
      <c r="O5" s="75">
        <v>45474</v>
      </c>
      <c r="Q5" s="306" t="s">
        <v>440</v>
      </c>
      <c r="R5" s="308" t="s">
        <v>446</v>
      </c>
      <c r="T5" s="306" t="s">
        <v>441</v>
      </c>
      <c r="U5" s="308" t="s">
        <v>446</v>
      </c>
    </row>
    <row r="6" spans="1:21" x14ac:dyDescent="0.2">
      <c r="A6" s="3" t="s">
        <v>268</v>
      </c>
      <c r="B6" s="2" t="s">
        <v>269</v>
      </c>
      <c r="C6" s="301">
        <v>46296</v>
      </c>
      <c r="D6" s="2" t="s">
        <v>270</v>
      </c>
      <c r="E6" s="301">
        <v>46660</v>
      </c>
      <c r="F6" s="2"/>
      <c r="G6" s="3"/>
      <c r="H6" s="3"/>
      <c r="I6" s="2"/>
      <c r="J6" s="3"/>
      <c r="K6" s="2"/>
      <c r="L6" s="2"/>
      <c r="M6" s="3"/>
      <c r="P6" s="105"/>
      <c r="Q6" s="62" t="s">
        <v>452</v>
      </c>
      <c r="R6" s="309">
        <v>19</v>
      </c>
      <c r="T6" s="62" t="s">
        <v>452</v>
      </c>
      <c r="U6" s="309">
        <v>24</v>
      </c>
    </row>
    <row r="7" spans="1:21" ht="20.399999999999999" x14ac:dyDescent="0.2">
      <c r="A7" s="3"/>
      <c r="B7" s="2"/>
      <c r="D7" s="3"/>
      <c r="F7" s="106" t="s">
        <v>404</v>
      </c>
      <c r="G7" s="106" t="s">
        <v>451</v>
      </c>
      <c r="H7" s="106" t="s">
        <v>450</v>
      </c>
      <c r="I7" s="107" t="s">
        <v>215</v>
      </c>
      <c r="J7" s="107" t="s">
        <v>7</v>
      </c>
      <c r="K7" s="107" t="s">
        <v>8</v>
      </c>
      <c r="L7" s="107" t="s">
        <v>9</v>
      </c>
      <c r="M7" s="107" t="s">
        <v>47</v>
      </c>
      <c r="P7" s="105"/>
      <c r="Q7" s="62" t="s">
        <v>457</v>
      </c>
      <c r="R7" s="309">
        <v>23</v>
      </c>
      <c r="T7" s="62" t="s">
        <v>457</v>
      </c>
      <c r="U7" s="309">
        <v>30</v>
      </c>
    </row>
    <row r="8" spans="1:21" ht="22.65" customHeight="1" x14ac:dyDescent="0.2">
      <c r="A8" s="355" t="s">
        <v>459</v>
      </c>
      <c r="B8" s="356"/>
      <c r="C8" s="356"/>
      <c r="D8" s="356"/>
      <c r="E8" s="356"/>
      <c r="F8" s="291">
        <v>13</v>
      </c>
      <c r="G8" s="293">
        <f>+INDEX(Timepriser,MATCH(F8,Løntrin,0),MATCH(F4,Stedtillæg,0))</f>
        <v>156.69</v>
      </c>
      <c r="H8" s="293">
        <f>+IFERROR(IF(F9="SSHløn",VLOOKUP(G9,SSHTillæg.,2),VLOOKUP(G9,SSATillæg.,2)),0)</f>
        <v>0</v>
      </c>
      <c r="I8" s="213">
        <f>+SUM(G8:H8)*Forudsætninger!B42</f>
        <v>78.344999999999999</v>
      </c>
      <c r="J8" s="109">
        <f>+SUM(G8:H8)*Forudsætninger!B41</f>
        <v>50.140799999999999</v>
      </c>
      <c r="K8" s="109">
        <f>+SUM(G8:H8)*Forudsætninger!B39</f>
        <v>56.4084</v>
      </c>
      <c r="L8" s="109">
        <f>+SUM(G8:H8)*Forudsætninger!B40</f>
        <v>62.676000000000002</v>
      </c>
      <c r="M8" s="109">
        <f>SUM(G8:H8)*Forudsætninger!B44</f>
        <v>117.5175</v>
      </c>
      <c r="N8" s="71"/>
      <c r="O8" s="110"/>
      <c r="P8" s="105">
        <v>43466</v>
      </c>
      <c r="Q8" s="62" t="s">
        <v>454</v>
      </c>
      <c r="R8" s="309">
        <v>25</v>
      </c>
      <c r="T8" s="62" t="s">
        <v>454</v>
      </c>
      <c r="U8" s="309">
        <v>32</v>
      </c>
    </row>
    <row r="9" spans="1:21" ht="25.5" customHeight="1" x14ac:dyDescent="0.2">
      <c r="A9" s="359" t="s">
        <v>449</v>
      </c>
      <c r="B9" s="359"/>
      <c r="C9" s="359"/>
      <c r="D9" s="359"/>
      <c r="E9" s="359"/>
      <c r="F9" s="291" t="s">
        <v>280</v>
      </c>
      <c r="G9" s="305" t="s">
        <v>280</v>
      </c>
      <c r="I9" s="2"/>
      <c r="J9" s="110"/>
      <c r="K9" s="110"/>
      <c r="L9" s="110"/>
      <c r="M9" s="110"/>
      <c r="N9" s="71"/>
      <c r="O9" s="110"/>
      <c r="P9" s="105"/>
      <c r="Q9" s="62" t="s">
        <v>455</v>
      </c>
      <c r="R9" s="309">
        <v>29</v>
      </c>
      <c r="T9" s="62" t="s">
        <v>456</v>
      </c>
      <c r="U9" s="309">
        <v>34</v>
      </c>
    </row>
    <row r="10" spans="1:21" ht="13.2" thickBo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48" t="s">
        <v>216</v>
      </c>
      <c r="O10" s="348"/>
    </row>
    <row r="11" spans="1:21" ht="30.6" x14ac:dyDescent="0.2">
      <c r="A11" s="112"/>
      <c r="B11" s="113" t="s">
        <v>10</v>
      </c>
      <c r="C11" s="113" t="s">
        <v>66</v>
      </c>
      <c r="D11" s="113" t="s">
        <v>49</v>
      </c>
      <c r="E11" s="113" t="s">
        <v>68</v>
      </c>
      <c r="F11" s="113" t="s">
        <v>11</v>
      </c>
      <c r="G11" s="113" t="s">
        <v>12</v>
      </c>
      <c r="H11" s="113" t="s">
        <v>7</v>
      </c>
      <c r="I11" s="113" t="s">
        <v>13</v>
      </c>
      <c r="J11" s="114" t="s">
        <v>14</v>
      </c>
      <c r="K11" s="112" t="s">
        <v>15</v>
      </c>
      <c r="L11" s="115" t="s">
        <v>67</v>
      </c>
      <c r="M11" s="116" t="s">
        <v>16</v>
      </c>
      <c r="N11" s="116" t="s">
        <v>84</v>
      </c>
      <c r="O11" s="116" t="s">
        <v>83</v>
      </c>
    </row>
    <row r="12" spans="1:21" x14ac:dyDescent="0.2">
      <c r="A12" s="95" t="s">
        <v>17</v>
      </c>
      <c r="B12" s="108" t="s">
        <v>18</v>
      </c>
      <c r="C12" s="203"/>
      <c r="D12" s="203"/>
      <c r="E12" s="203"/>
      <c r="F12" s="109">
        <f>+SUM($G$8:$H$8)</f>
        <v>156.69</v>
      </c>
      <c r="G12" s="109" t="s">
        <v>19</v>
      </c>
      <c r="H12" s="109" t="s">
        <v>19</v>
      </c>
      <c r="I12" s="109" t="s">
        <v>19</v>
      </c>
      <c r="J12" s="117">
        <f>+L8</f>
        <v>62.676000000000002</v>
      </c>
      <c r="K12" s="118">
        <f>+M8</f>
        <v>117.5175</v>
      </c>
      <c r="L12" s="119">
        <f>SUM(F12:J12)</f>
        <v>219.36599999999999</v>
      </c>
      <c r="M12" s="120">
        <f>+($C12+($D12/(Budgetark!$G$6)+$E12*3/4))*$F12+N12+O12/(Budgetark!$G$6)</f>
        <v>0</v>
      </c>
      <c r="N12" s="121">
        <f>SUM(G12:J12)*ROUNDUP(C12*2,0)/2</f>
        <v>0</v>
      </c>
      <c r="O12" s="122">
        <f>SUM(G12:J12)*ROUNDUP(D12*2,0)/2</f>
        <v>0</v>
      </c>
      <c r="Q12" s="111"/>
    </row>
    <row r="13" spans="1:21" x14ac:dyDescent="0.2">
      <c r="A13" s="95" t="s">
        <v>17</v>
      </c>
      <c r="B13" s="123" t="s">
        <v>20</v>
      </c>
      <c r="C13" s="203"/>
      <c r="D13" s="203"/>
      <c r="E13" s="203"/>
      <c r="F13" s="109">
        <f t="shared" ref="F13:F15" si="0">+SUM($G$8:$H$8)</f>
        <v>156.69</v>
      </c>
      <c r="G13" s="109"/>
      <c r="H13" s="109"/>
      <c r="I13" s="109"/>
      <c r="J13" s="117"/>
      <c r="K13" s="118">
        <f>+M8</f>
        <v>117.5175</v>
      </c>
      <c r="L13" s="119">
        <f>SUM(F13:J13)</f>
        <v>156.69</v>
      </c>
      <c r="M13" s="120">
        <f>+($C13+($D13/(Budgetark!$G$6)+$E13*3/4))*$F13+N13+O13/(Budgetark!$G$6)</f>
        <v>0</v>
      </c>
      <c r="N13" s="121">
        <f t="shared" ref="N13:N45" si="1">SUM(G13:J13)*ROUNDUP(C13*2,0)/2</f>
        <v>0</v>
      </c>
      <c r="O13" s="122">
        <f t="shared" ref="O13:O45" si="2">SUM(G13:J13)*ROUNDUP(D13*2,0)/2</f>
        <v>0</v>
      </c>
      <c r="Q13" s="111"/>
    </row>
    <row r="14" spans="1:21" x14ac:dyDescent="0.2">
      <c r="A14" s="95" t="s">
        <v>17</v>
      </c>
      <c r="B14" s="123" t="s">
        <v>21</v>
      </c>
      <c r="C14" s="203"/>
      <c r="D14" s="203"/>
      <c r="E14" s="203"/>
      <c r="F14" s="109">
        <f t="shared" si="0"/>
        <v>156.69</v>
      </c>
      <c r="G14" s="109"/>
      <c r="H14" s="109"/>
      <c r="I14" s="109">
        <f>+K8</f>
        <v>56.4084</v>
      </c>
      <c r="J14" s="117"/>
      <c r="K14" s="118">
        <f>+M8</f>
        <v>117.5175</v>
      </c>
      <c r="L14" s="119">
        <f>SUM(F14:J14)</f>
        <v>213.0984</v>
      </c>
      <c r="M14" s="120">
        <f>+($C14+($D14/(Budgetark!$G$6)+$E14*3/4))*$F14+N14+O14/(Budgetark!$G$6)</f>
        <v>0</v>
      </c>
      <c r="N14" s="121">
        <f t="shared" si="1"/>
        <v>0</v>
      </c>
      <c r="O14" s="122">
        <f t="shared" si="2"/>
        <v>0</v>
      </c>
      <c r="P14" s="124"/>
      <c r="Q14" s="111"/>
    </row>
    <row r="15" spans="1:21" x14ac:dyDescent="0.2">
      <c r="A15" s="95" t="s">
        <v>17</v>
      </c>
      <c r="B15" s="108" t="s">
        <v>22</v>
      </c>
      <c r="C15" s="203"/>
      <c r="D15" s="203"/>
      <c r="E15" s="203"/>
      <c r="F15" s="109">
        <f t="shared" si="0"/>
        <v>156.69</v>
      </c>
      <c r="G15" s="109"/>
      <c r="H15" s="109"/>
      <c r="I15" s="109" t="s">
        <v>19</v>
      </c>
      <c r="J15" s="117">
        <f>+L8</f>
        <v>62.676000000000002</v>
      </c>
      <c r="K15" s="118">
        <f>+M8</f>
        <v>117.5175</v>
      </c>
      <c r="L15" s="119">
        <f>SUM(F15:J15)</f>
        <v>219.36599999999999</v>
      </c>
      <c r="M15" s="120">
        <f>+($C15+($D15/(Budgetark!$G$6)+$E15*3/4))*$F15+N15+O15/(Budgetark!$G$6)</f>
        <v>0</v>
      </c>
      <c r="N15" s="121">
        <f t="shared" si="1"/>
        <v>0</v>
      </c>
      <c r="O15" s="122">
        <f t="shared" si="2"/>
        <v>0</v>
      </c>
      <c r="Q15" s="111"/>
    </row>
    <row r="16" spans="1:21" x14ac:dyDescent="0.2">
      <c r="A16" s="39"/>
      <c r="B16" s="2"/>
      <c r="C16" s="125"/>
      <c r="D16" s="125"/>
      <c r="E16" s="125"/>
      <c r="F16" s="125" t="s">
        <v>19</v>
      </c>
      <c r="G16" s="125"/>
      <c r="H16" s="125"/>
      <c r="I16" s="125"/>
      <c r="J16" s="125"/>
      <c r="K16" s="126"/>
      <c r="L16" s="127" t="s">
        <v>19</v>
      </c>
      <c r="M16" s="120"/>
      <c r="N16" s="121"/>
      <c r="O16" s="122"/>
    </row>
    <row r="17" spans="1:16" x14ac:dyDescent="0.2">
      <c r="A17" s="95" t="s">
        <v>23</v>
      </c>
      <c r="B17" s="108" t="s">
        <v>18</v>
      </c>
      <c r="C17" s="203"/>
      <c r="D17" s="203"/>
      <c r="E17" s="203"/>
      <c r="F17" s="109">
        <f t="shared" ref="F17:F20" si="3">+SUM($G$8:$H$8)</f>
        <v>156.69</v>
      </c>
      <c r="G17" s="109" t="s">
        <v>19</v>
      </c>
      <c r="H17" s="109" t="s">
        <v>19</v>
      </c>
      <c r="I17" s="109" t="s">
        <v>19</v>
      </c>
      <c r="J17" s="117">
        <f>+L8</f>
        <v>62.676000000000002</v>
      </c>
      <c r="K17" s="118">
        <f>+M8</f>
        <v>117.5175</v>
      </c>
      <c r="L17" s="119">
        <f>SUM(F17:J17)</f>
        <v>219.36599999999999</v>
      </c>
      <c r="M17" s="120">
        <f>+($C17+($D17/(Budgetark!$G$6)+$E17*3/4))*$F17+N17+O17/(Budgetark!$G$6)</f>
        <v>0</v>
      </c>
      <c r="N17" s="121">
        <f t="shared" si="1"/>
        <v>0</v>
      </c>
      <c r="O17" s="122">
        <f t="shared" si="2"/>
        <v>0</v>
      </c>
      <c r="P17" s="128"/>
    </row>
    <row r="18" spans="1:16" x14ac:dyDescent="0.2">
      <c r="A18" s="95" t="s">
        <v>23</v>
      </c>
      <c r="B18" s="123" t="s">
        <v>20</v>
      </c>
      <c r="C18" s="203"/>
      <c r="D18" s="203"/>
      <c r="E18" s="203"/>
      <c r="F18" s="109">
        <f t="shared" si="3"/>
        <v>156.69</v>
      </c>
      <c r="G18" s="109"/>
      <c r="H18" s="109"/>
      <c r="I18" s="109"/>
      <c r="J18" s="117"/>
      <c r="K18" s="118">
        <f>+M8</f>
        <v>117.5175</v>
      </c>
      <c r="L18" s="119">
        <f>SUM(F18:J18)</f>
        <v>156.69</v>
      </c>
      <c r="M18" s="120">
        <f>+($C18+($D18/(Budgetark!$G$6)+$E18*3/4))*$F18+N18+O18/(Budgetark!$G$6)</f>
        <v>0</v>
      </c>
      <c r="N18" s="121">
        <f t="shared" si="1"/>
        <v>0</v>
      </c>
      <c r="O18" s="122">
        <f t="shared" si="2"/>
        <v>0</v>
      </c>
      <c r="P18" s="128"/>
    </row>
    <row r="19" spans="1:16" x14ac:dyDescent="0.2">
      <c r="A19" s="95" t="s">
        <v>23</v>
      </c>
      <c r="B19" s="123" t="s">
        <v>21</v>
      </c>
      <c r="C19" s="203"/>
      <c r="D19" s="203"/>
      <c r="E19" s="203"/>
      <c r="F19" s="109">
        <f t="shared" si="3"/>
        <v>156.69</v>
      </c>
      <c r="G19" s="109"/>
      <c r="H19" s="109"/>
      <c r="I19" s="109">
        <f>+K8</f>
        <v>56.4084</v>
      </c>
      <c r="J19" s="117"/>
      <c r="K19" s="118">
        <f>+M8</f>
        <v>117.5175</v>
      </c>
      <c r="L19" s="119">
        <f>SUM(F19:J19)</f>
        <v>213.0984</v>
      </c>
      <c r="M19" s="120">
        <f>+($C19+($D19/(Budgetark!$G$6)+$E19*3/4))*$F19+N19+O19/(Budgetark!$G$6)</f>
        <v>0</v>
      </c>
      <c r="N19" s="121">
        <f t="shared" si="1"/>
        <v>0</v>
      </c>
      <c r="O19" s="122">
        <f t="shared" si="2"/>
        <v>0</v>
      </c>
      <c r="P19" s="129"/>
    </row>
    <row r="20" spans="1:16" x14ac:dyDescent="0.2">
      <c r="A20" s="95" t="s">
        <v>23</v>
      </c>
      <c r="B20" s="108" t="s">
        <v>22</v>
      </c>
      <c r="C20" s="203"/>
      <c r="D20" s="203"/>
      <c r="E20" s="203"/>
      <c r="F20" s="109">
        <f t="shared" si="3"/>
        <v>156.69</v>
      </c>
      <c r="G20" s="109"/>
      <c r="H20" s="109"/>
      <c r="I20" s="109" t="s">
        <v>19</v>
      </c>
      <c r="J20" s="117">
        <f>+L8</f>
        <v>62.676000000000002</v>
      </c>
      <c r="K20" s="118">
        <f>+M8</f>
        <v>117.5175</v>
      </c>
      <c r="L20" s="119">
        <f>SUM(F20:J20)</f>
        <v>219.36599999999999</v>
      </c>
      <c r="M20" s="120">
        <f>+($C20+($D20/(Budgetark!$G$6)+$E20*3/4))*$F20+N20+O20/(Budgetark!$G$6)</f>
        <v>0</v>
      </c>
      <c r="N20" s="121">
        <f t="shared" si="1"/>
        <v>0</v>
      </c>
      <c r="O20" s="122">
        <f t="shared" si="2"/>
        <v>0</v>
      </c>
      <c r="P20" s="129"/>
    </row>
    <row r="21" spans="1:16" x14ac:dyDescent="0.2">
      <c r="A21" s="39"/>
      <c r="B21" s="2"/>
      <c r="C21" s="125"/>
      <c r="D21" s="125"/>
      <c r="E21" s="125"/>
      <c r="F21" s="125" t="s">
        <v>19</v>
      </c>
      <c r="G21" s="125"/>
      <c r="H21" s="125"/>
      <c r="I21" s="125"/>
      <c r="J21" s="125"/>
      <c r="K21" s="126"/>
      <c r="L21" s="127" t="s">
        <v>19</v>
      </c>
      <c r="M21" s="120"/>
      <c r="N21" s="121"/>
      <c r="O21" s="122"/>
    </row>
    <row r="22" spans="1:16" x14ac:dyDescent="0.2">
      <c r="A22" s="95" t="s">
        <v>24</v>
      </c>
      <c r="B22" s="108" t="s">
        <v>18</v>
      </c>
      <c r="C22" s="203"/>
      <c r="D22" s="203"/>
      <c r="E22" s="203"/>
      <c r="F22" s="109">
        <f t="shared" ref="F22:F25" si="4">+SUM($G$8:$H$8)</f>
        <v>156.69</v>
      </c>
      <c r="G22" s="109" t="s">
        <v>19</v>
      </c>
      <c r="H22" s="109" t="s">
        <v>19</v>
      </c>
      <c r="I22" s="109" t="s">
        <v>19</v>
      </c>
      <c r="J22" s="117">
        <f>+L8</f>
        <v>62.676000000000002</v>
      </c>
      <c r="K22" s="118">
        <f>+M8</f>
        <v>117.5175</v>
      </c>
      <c r="L22" s="119">
        <f>SUM(F22:J22)</f>
        <v>219.36599999999999</v>
      </c>
      <c r="M22" s="120">
        <f>+($C22+($D22/(Budgetark!$G$6)+$E22*3/4))*$F22+N22+O22/(Budgetark!$G$6)</f>
        <v>0</v>
      </c>
      <c r="N22" s="121">
        <f t="shared" si="1"/>
        <v>0</v>
      </c>
      <c r="O22" s="122">
        <f t="shared" si="2"/>
        <v>0</v>
      </c>
    </row>
    <row r="23" spans="1:16" x14ac:dyDescent="0.2">
      <c r="A23" s="95" t="s">
        <v>24</v>
      </c>
      <c r="B23" s="123" t="s">
        <v>20</v>
      </c>
      <c r="C23" s="203"/>
      <c r="D23" s="203"/>
      <c r="E23" s="203"/>
      <c r="F23" s="109">
        <f t="shared" si="4"/>
        <v>156.69</v>
      </c>
      <c r="G23" s="109"/>
      <c r="H23" s="109"/>
      <c r="I23" s="109"/>
      <c r="J23" s="117"/>
      <c r="K23" s="118">
        <f>+M8</f>
        <v>117.5175</v>
      </c>
      <c r="L23" s="119">
        <f>SUM(F23:J23)</f>
        <v>156.69</v>
      </c>
      <c r="M23" s="120">
        <f>+($C23+($D23/(Budgetark!$G$6)+$E23*3/4))*$F23+N23+O23/(Budgetark!$G$6)</f>
        <v>0</v>
      </c>
      <c r="N23" s="121">
        <f t="shared" si="1"/>
        <v>0</v>
      </c>
      <c r="O23" s="122">
        <f t="shared" si="2"/>
        <v>0</v>
      </c>
    </row>
    <row r="24" spans="1:16" x14ac:dyDescent="0.2">
      <c r="A24" s="95" t="s">
        <v>24</v>
      </c>
      <c r="B24" s="123" t="s">
        <v>21</v>
      </c>
      <c r="C24" s="203"/>
      <c r="D24" s="203"/>
      <c r="E24" s="203"/>
      <c r="F24" s="109">
        <f t="shared" si="4"/>
        <v>156.69</v>
      </c>
      <c r="G24" s="109"/>
      <c r="H24" s="109"/>
      <c r="I24" s="109">
        <f>+K8</f>
        <v>56.4084</v>
      </c>
      <c r="J24" s="117"/>
      <c r="K24" s="118">
        <f>+M8</f>
        <v>117.5175</v>
      </c>
      <c r="L24" s="119">
        <f>SUM(F24:J24)</f>
        <v>213.0984</v>
      </c>
      <c r="M24" s="120">
        <f>+($C24+($D24/(Budgetark!$G$6)+$E24*3/4))*$F24+N24+O24/(Budgetark!$G$6)</f>
        <v>0</v>
      </c>
      <c r="N24" s="121">
        <f t="shared" si="1"/>
        <v>0</v>
      </c>
      <c r="O24" s="122">
        <f t="shared" si="2"/>
        <v>0</v>
      </c>
    </row>
    <row r="25" spans="1:16" x14ac:dyDescent="0.2">
      <c r="A25" s="95" t="s">
        <v>24</v>
      </c>
      <c r="B25" s="108" t="s">
        <v>22</v>
      </c>
      <c r="C25" s="203"/>
      <c r="D25" s="203"/>
      <c r="E25" s="203"/>
      <c r="F25" s="109">
        <f t="shared" si="4"/>
        <v>156.69</v>
      </c>
      <c r="G25" s="109"/>
      <c r="H25" s="109"/>
      <c r="I25" s="109" t="s">
        <v>19</v>
      </c>
      <c r="J25" s="117">
        <f>+L8</f>
        <v>62.676000000000002</v>
      </c>
      <c r="K25" s="118">
        <f>+M8</f>
        <v>117.5175</v>
      </c>
      <c r="L25" s="119">
        <f>SUM(F25:J25)</f>
        <v>219.36599999999999</v>
      </c>
      <c r="M25" s="120">
        <f>+($C25+($D25/(Budgetark!$G$6)+$E25*3/4))*$F25+N25+O25/(Budgetark!$G$6)</f>
        <v>0</v>
      </c>
      <c r="N25" s="121">
        <f t="shared" si="1"/>
        <v>0</v>
      </c>
      <c r="O25" s="122">
        <f t="shared" si="2"/>
        <v>0</v>
      </c>
    </row>
    <row r="26" spans="1:16" x14ac:dyDescent="0.2">
      <c r="A26" s="39"/>
      <c r="B26" s="2"/>
      <c r="C26" s="125"/>
      <c r="D26" s="125"/>
      <c r="E26" s="125"/>
      <c r="F26" s="125" t="s">
        <v>19</v>
      </c>
      <c r="G26" s="125"/>
      <c r="H26" s="125"/>
      <c r="I26" s="125"/>
      <c r="J26" s="125"/>
      <c r="K26" s="126"/>
      <c r="L26" s="127" t="s">
        <v>19</v>
      </c>
      <c r="M26" s="120"/>
      <c r="N26" s="121"/>
      <c r="O26" s="122"/>
    </row>
    <row r="27" spans="1:16" x14ac:dyDescent="0.2">
      <c r="A27" s="95" t="s">
        <v>25</v>
      </c>
      <c r="B27" s="108" t="s">
        <v>18</v>
      </c>
      <c r="C27" s="203"/>
      <c r="D27" s="203"/>
      <c r="E27" s="203"/>
      <c r="F27" s="109">
        <f t="shared" ref="F27:F30" si="5">+SUM($G$8:$H$8)</f>
        <v>156.69</v>
      </c>
      <c r="G27" s="109" t="s">
        <v>19</v>
      </c>
      <c r="H27" s="109" t="s">
        <v>19</v>
      </c>
      <c r="I27" s="109" t="s">
        <v>19</v>
      </c>
      <c r="J27" s="117">
        <f>+L8</f>
        <v>62.676000000000002</v>
      </c>
      <c r="K27" s="118">
        <f>+M8</f>
        <v>117.5175</v>
      </c>
      <c r="L27" s="119">
        <f>SUM(F27:J27)</f>
        <v>219.36599999999999</v>
      </c>
      <c r="M27" s="120">
        <f>+($C27+($D27/(Budgetark!$G$6)+$E27*3/4))*$F27+N27+O27/(Budgetark!$G$6)</f>
        <v>0</v>
      </c>
      <c r="N27" s="121">
        <f t="shared" si="1"/>
        <v>0</v>
      </c>
      <c r="O27" s="122">
        <f t="shared" si="2"/>
        <v>0</v>
      </c>
    </row>
    <row r="28" spans="1:16" x14ac:dyDescent="0.2">
      <c r="A28" s="95" t="s">
        <v>25</v>
      </c>
      <c r="B28" s="123" t="s">
        <v>20</v>
      </c>
      <c r="C28" s="203"/>
      <c r="D28" s="203"/>
      <c r="E28" s="203"/>
      <c r="F28" s="109">
        <f t="shared" si="5"/>
        <v>156.69</v>
      </c>
      <c r="G28" s="109"/>
      <c r="H28" s="109"/>
      <c r="I28" s="109"/>
      <c r="J28" s="117"/>
      <c r="K28" s="118">
        <f>+M8</f>
        <v>117.5175</v>
      </c>
      <c r="L28" s="119">
        <f>SUM(F28:J28)</f>
        <v>156.69</v>
      </c>
      <c r="M28" s="120">
        <f>+($C28+($D28/(Budgetark!$G$6)+$E28*3/4))*$F28+N28+O28/(Budgetark!$G$6)</f>
        <v>0</v>
      </c>
      <c r="N28" s="121">
        <f t="shared" si="1"/>
        <v>0</v>
      </c>
      <c r="O28" s="122">
        <f t="shared" si="2"/>
        <v>0</v>
      </c>
    </row>
    <row r="29" spans="1:16" x14ac:dyDescent="0.2">
      <c r="A29" s="95" t="s">
        <v>25</v>
      </c>
      <c r="B29" s="123" t="s">
        <v>21</v>
      </c>
      <c r="C29" s="203"/>
      <c r="D29" s="203"/>
      <c r="E29" s="203"/>
      <c r="F29" s="109">
        <f t="shared" si="5"/>
        <v>156.69</v>
      </c>
      <c r="G29" s="109"/>
      <c r="H29" s="109"/>
      <c r="I29" s="109">
        <f>+K8</f>
        <v>56.4084</v>
      </c>
      <c r="J29" s="117" t="s">
        <v>19</v>
      </c>
      <c r="K29" s="118">
        <f>+M8</f>
        <v>117.5175</v>
      </c>
      <c r="L29" s="119">
        <f>SUM(F29:J29)</f>
        <v>213.0984</v>
      </c>
      <c r="M29" s="120">
        <f>+($C29+($D29/(Budgetark!$G$6)+$E29*3/4))*$F29+N29+O29/(Budgetark!$G$6)</f>
        <v>0</v>
      </c>
      <c r="N29" s="121">
        <f t="shared" si="1"/>
        <v>0</v>
      </c>
      <c r="O29" s="122">
        <f t="shared" si="2"/>
        <v>0</v>
      </c>
    </row>
    <row r="30" spans="1:16" x14ac:dyDescent="0.2">
      <c r="A30" s="95" t="s">
        <v>25</v>
      </c>
      <c r="B30" s="108" t="s">
        <v>22</v>
      </c>
      <c r="C30" s="203"/>
      <c r="D30" s="203"/>
      <c r="E30" s="203"/>
      <c r="F30" s="109">
        <f t="shared" si="5"/>
        <v>156.69</v>
      </c>
      <c r="G30" s="109"/>
      <c r="H30" s="109"/>
      <c r="I30" s="109" t="s">
        <v>19</v>
      </c>
      <c r="J30" s="117">
        <f>+L8</f>
        <v>62.676000000000002</v>
      </c>
      <c r="K30" s="118">
        <f>+M8</f>
        <v>117.5175</v>
      </c>
      <c r="L30" s="119">
        <f>SUM(F30:J30)</f>
        <v>219.36599999999999</v>
      </c>
      <c r="M30" s="120">
        <f>+($C30+($D30/(Budgetark!$G$6)+$E30*3/4))*$F30+N30+O30/(Budgetark!$G$6)</f>
        <v>0</v>
      </c>
      <c r="N30" s="121">
        <f t="shared" si="1"/>
        <v>0</v>
      </c>
      <c r="O30" s="122">
        <f t="shared" si="2"/>
        <v>0</v>
      </c>
    </row>
    <row r="31" spans="1:16" x14ac:dyDescent="0.2">
      <c r="A31" s="39"/>
      <c r="B31" s="2"/>
      <c r="C31" s="125"/>
      <c r="D31" s="125"/>
      <c r="E31" s="125"/>
      <c r="F31" s="125" t="s">
        <v>19</v>
      </c>
      <c r="G31" s="125"/>
      <c r="H31" s="125"/>
      <c r="I31" s="125"/>
      <c r="J31" s="125"/>
      <c r="K31" s="126"/>
      <c r="L31" s="127" t="s">
        <v>19</v>
      </c>
      <c r="M31" s="120"/>
      <c r="N31" s="121"/>
      <c r="O31" s="122"/>
    </row>
    <row r="32" spans="1:16" x14ac:dyDescent="0.2">
      <c r="A32" s="95" t="s">
        <v>26</v>
      </c>
      <c r="B32" s="108" t="s">
        <v>18</v>
      </c>
      <c r="C32" s="203"/>
      <c r="D32" s="203"/>
      <c r="E32" s="203"/>
      <c r="F32" s="109">
        <f t="shared" ref="F32:F35" si="6">+SUM($G$8:$H$8)</f>
        <v>156.69</v>
      </c>
      <c r="G32" s="109" t="s">
        <v>19</v>
      </c>
      <c r="H32" s="109" t="s">
        <v>19</v>
      </c>
      <c r="I32" s="109" t="s">
        <v>19</v>
      </c>
      <c r="J32" s="117">
        <f>+L8</f>
        <v>62.676000000000002</v>
      </c>
      <c r="K32" s="118">
        <f>+M8</f>
        <v>117.5175</v>
      </c>
      <c r="L32" s="119">
        <f>SUM(F32:J32)</f>
        <v>219.36599999999999</v>
      </c>
      <c r="M32" s="120">
        <f>+($C32+($D32/(Budgetark!$G$6)+$E32*3/4))*$F32+N32+O32/(Budgetark!$G$6)</f>
        <v>0</v>
      </c>
      <c r="N32" s="121">
        <f t="shared" si="1"/>
        <v>0</v>
      </c>
      <c r="O32" s="122">
        <f t="shared" si="2"/>
        <v>0</v>
      </c>
    </row>
    <row r="33" spans="1:16" x14ac:dyDescent="0.2">
      <c r="A33" s="95" t="s">
        <v>26</v>
      </c>
      <c r="B33" s="123" t="s">
        <v>20</v>
      </c>
      <c r="C33" s="203"/>
      <c r="D33" s="203"/>
      <c r="E33" s="203"/>
      <c r="F33" s="109">
        <f t="shared" si="6"/>
        <v>156.69</v>
      </c>
      <c r="G33" s="109"/>
      <c r="H33" s="109"/>
      <c r="I33" s="109"/>
      <c r="J33" s="117"/>
      <c r="K33" s="118">
        <f>+M8</f>
        <v>117.5175</v>
      </c>
      <c r="L33" s="119">
        <f>SUM(F33:J33)</f>
        <v>156.69</v>
      </c>
      <c r="M33" s="120">
        <f>+($C33+($D33/(Budgetark!$G$6)+$E33*3/4))*$F33+N33+O33/(Budgetark!$G$6)</f>
        <v>0</v>
      </c>
      <c r="N33" s="121">
        <f t="shared" si="1"/>
        <v>0</v>
      </c>
      <c r="O33" s="122">
        <f t="shared" si="2"/>
        <v>0</v>
      </c>
    </row>
    <row r="34" spans="1:16" x14ac:dyDescent="0.2">
      <c r="A34" s="95" t="s">
        <v>26</v>
      </c>
      <c r="B34" s="123" t="s">
        <v>21</v>
      </c>
      <c r="C34" s="203"/>
      <c r="D34" s="203"/>
      <c r="E34" s="203"/>
      <c r="F34" s="109">
        <f t="shared" si="6"/>
        <v>156.69</v>
      </c>
      <c r="G34" s="109"/>
      <c r="H34" s="109"/>
      <c r="I34" s="109">
        <f>+K8</f>
        <v>56.4084</v>
      </c>
      <c r="J34" s="117"/>
      <c r="K34" s="118">
        <f>+M8</f>
        <v>117.5175</v>
      </c>
      <c r="L34" s="119">
        <f>SUM(F34:J34)</f>
        <v>213.0984</v>
      </c>
      <c r="M34" s="120">
        <f>+($C34+($D34/(Budgetark!$G$6)+$E34*3/4))*$F34+N34+O34/(Budgetark!$G$6)</f>
        <v>0</v>
      </c>
      <c r="N34" s="121">
        <f t="shared" si="1"/>
        <v>0</v>
      </c>
      <c r="O34" s="122">
        <f t="shared" si="2"/>
        <v>0</v>
      </c>
    </row>
    <row r="35" spans="1:16" x14ac:dyDescent="0.2">
      <c r="A35" s="95" t="s">
        <v>26</v>
      </c>
      <c r="B35" s="108" t="s">
        <v>22</v>
      </c>
      <c r="C35" s="203"/>
      <c r="D35" s="203"/>
      <c r="E35" s="203"/>
      <c r="F35" s="109">
        <f t="shared" si="6"/>
        <v>156.69</v>
      </c>
      <c r="G35" s="109"/>
      <c r="H35" s="109"/>
      <c r="I35" s="109" t="s">
        <v>19</v>
      </c>
      <c r="J35" s="117">
        <f>+L8</f>
        <v>62.676000000000002</v>
      </c>
      <c r="K35" s="118">
        <f>+M8</f>
        <v>117.5175</v>
      </c>
      <c r="L35" s="119">
        <f>SUM(F35:J35)</f>
        <v>219.36599999999999</v>
      </c>
      <c r="M35" s="120">
        <f>+($C35+($D35/(Budgetark!$G$6)+$E35*3/4))*$F35+N35+O35/(Budgetark!$G$6)</f>
        <v>0</v>
      </c>
      <c r="N35" s="121">
        <f t="shared" si="1"/>
        <v>0</v>
      </c>
      <c r="O35" s="122">
        <f t="shared" si="2"/>
        <v>0</v>
      </c>
    </row>
    <row r="36" spans="1:16" x14ac:dyDescent="0.2">
      <c r="A36" s="39"/>
      <c r="B36" s="2"/>
      <c r="C36" s="125"/>
      <c r="D36" s="125"/>
      <c r="E36" s="125"/>
      <c r="F36" s="125" t="s">
        <v>19</v>
      </c>
      <c r="G36" s="125"/>
      <c r="H36" s="125"/>
      <c r="I36" s="125"/>
      <c r="J36" s="125"/>
      <c r="K36" s="126"/>
      <c r="L36" s="127" t="s">
        <v>19</v>
      </c>
      <c r="M36" s="120"/>
      <c r="N36" s="121"/>
      <c r="O36" s="122"/>
    </row>
    <row r="37" spans="1:16" x14ac:dyDescent="0.2">
      <c r="A37" s="95" t="s">
        <v>27</v>
      </c>
      <c r="B37" s="108" t="s">
        <v>18</v>
      </c>
      <c r="C37" s="203"/>
      <c r="D37" s="203"/>
      <c r="E37" s="203"/>
      <c r="F37" s="109">
        <f t="shared" ref="F37:F40" si="7">+SUM($G$8:$H$8)</f>
        <v>156.69</v>
      </c>
      <c r="G37" s="109"/>
      <c r="H37" s="109"/>
      <c r="I37" s="109" t="s">
        <v>19</v>
      </c>
      <c r="J37" s="117">
        <f>+L8</f>
        <v>62.676000000000002</v>
      </c>
      <c r="K37" s="118">
        <f>+M8</f>
        <v>117.5175</v>
      </c>
      <c r="L37" s="119">
        <f>SUM(F37:J37)</f>
        <v>219.36599999999999</v>
      </c>
      <c r="M37" s="120">
        <f>+($C37+($D37/(Budgetark!$G$6)+$E37*3/4))*$F37+N37+O37/(Budgetark!$G$6)</f>
        <v>0</v>
      </c>
      <c r="N37" s="121">
        <f t="shared" si="1"/>
        <v>0</v>
      </c>
      <c r="O37" s="122">
        <f t="shared" si="2"/>
        <v>0</v>
      </c>
    </row>
    <row r="38" spans="1:16" x14ac:dyDescent="0.2">
      <c r="A38" s="95" t="s">
        <v>27</v>
      </c>
      <c r="B38" s="123" t="s">
        <v>20</v>
      </c>
      <c r="C38" s="203"/>
      <c r="D38" s="203"/>
      <c r="E38" s="203"/>
      <c r="F38" s="109">
        <f t="shared" si="7"/>
        <v>156.69</v>
      </c>
      <c r="G38" s="109"/>
      <c r="H38" s="109">
        <f>+J8</f>
        <v>50.140799999999999</v>
      </c>
      <c r="I38" s="109"/>
      <c r="J38" s="117"/>
      <c r="K38" s="118">
        <f>+M8</f>
        <v>117.5175</v>
      </c>
      <c r="L38" s="119">
        <f>SUM(F38:J38)</f>
        <v>206.83080000000001</v>
      </c>
      <c r="M38" s="120">
        <f>+($C38+($D38/(Budgetark!$G$6)+$E38*3/4))*$F38+N38+O38/(Budgetark!$G$6)</f>
        <v>0</v>
      </c>
      <c r="N38" s="121">
        <f t="shared" si="1"/>
        <v>0</v>
      </c>
      <c r="O38" s="122">
        <f t="shared" si="2"/>
        <v>0</v>
      </c>
    </row>
    <row r="39" spans="1:16" x14ac:dyDescent="0.2">
      <c r="A39" s="95" t="s">
        <v>27</v>
      </c>
      <c r="B39" s="108" t="s">
        <v>21</v>
      </c>
      <c r="C39" s="203"/>
      <c r="D39" s="203"/>
      <c r="E39" s="203"/>
      <c r="F39" s="109">
        <f t="shared" si="7"/>
        <v>156.69</v>
      </c>
      <c r="G39" s="109" t="s">
        <v>19</v>
      </c>
      <c r="H39" s="109">
        <f>+J8</f>
        <v>50.140799999999999</v>
      </c>
      <c r="I39" s="109">
        <f>+K8</f>
        <v>56.4084</v>
      </c>
      <c r="J39" s="117"/>
      <c r="K39" s="118">
        <f>+M8</f>
        <v>117.5175</v>
      </c>
      <c r="L39" s="119">
        <f>SUM(F39:J39)</f>
        <v>263.23919999999998</v>
      </c>
      <c r="M39" s="120">
        <f>+($C39+($D39/(Budgetark!$G$6)+$E39*3/4))*$F39+N39+O39/(Budgetark!$G$6)</f>
        <v>0</v>
      </c>
      <c r="N39" s="121">
        <f t="shared" si="1"/>
        <v>0</v>
      </c>
      <c r="O39" s="122">
        <f t="shared" si="2"/>
        <v>0</v>
      </c>
    </row>
    <row r="40" spans="1:16" x14ac:dyDescent="0.2">
      <c r="A40" s="95" t="s">
        <v>27</v>
      </c>
      <c r="B40" s="108" t="s">
        <v>22</v>
      </c>
      <c r="C40" s="203"/>
      <c r="D40" s="203"/>
      <c r="E40" s="203"/>
      <c r="F40" s="109">
        <f t="shared" si="7"/>
        <v>156.69</v>
      </c>
      <c r="G40" s="109" t="s">
        <v>19</v>
      </c>
      <c r="H40" s="109">
        <f>+J8</f>
        <v>50.140799999999999</v>
      </c>
      <c r="I40" s="109" t="s">
        <v>19</v>
      </c>
      <c r="J40" s="117">
        <f>+L8</f>
        <v>62.676000000000002</v>
      </c>
      <c r="K40" s="118">
        <f>+M8</f>
        <v>117.5175</v>
      </c>
      <c r="L40" s="119">
        <f>SUM(F40:J40)</f>
        <v>269.5068</v>
      </c>
      <c r="M40" s="120">
        <f>+($C40+($D40/(Budgetark!$G$6)+$E40*3/4))*$F40+N40+O40/(Budgetark!$G$6)</f>
        <v>0</v>
      </c>
      <c r="N40" s="121">
        <f t="shared" si="1"/>
        <v>0</v>
      </c>
      <c r="O40" s="122">
        <f t="shared" si="2"/>
        <v>0</v>
      </c>
    </row>
    <row r="41" spans="1:16" x14ac:dyDescent="0.2">
      <c r="A41" s="39"/>
      <c r="B41" s="2"/>
      <c r="C41" s="125"/>
      <c r="D41" s="125"/>
      <c r="E41" s="125"/>
      <c r="F41" s="125" t="s">
        <v>19</v>
      </c>
      <c r="G41" s="125"/>
      <c r="H41" s="125"/>
      <c r="I41" s="125"/>
      <c r="J41" s="125"/>
      <c r="K41" s="126"/>
      <c r="L41" s="127" t="s">
        <v>19</v>
      </c>
      <c r="M41" s="120"/>
      <c r="N41" s="121"/>
      <c r="O41" s="122"/>
    </row>
    <row r="42" spans="1:16" x14ac:dyDescent="0.2">
      <c r="A42" s="95" t="s">
        <v>28</v>
      </c>
      <c r="B42" s="108" t="s">
        <v>18</v>
      </c>
      <c r="C42" s="203"/>
      <c r="D42" s="203"/>
      <c r="E42" s="203"/>
      <c r="F42" s="109">
        <f t="shared" ref="F42:F45" si="8">+SUM($G$8:$H$8)</f>
        <v>156.69</v>
      </c>
      <c r="G42" s="109">
        <f>+I8</f>
        <v>78.344999999999999</v>
      </c>
      <c r="H42" s="109"/>
      <c r="I42" s="109" t="s">
        <v>19</v>
      </c>
      <c r="J42" s="117">
        <f>+L8</f>
        <v>62.676000000000002</v>
      </c>
      <c r="K42" s="118">
        <f>+M8</f>
        <v>117.5175</v>
      </c>
      <c r="L42" s="119">
        <f>SUM(F42:J42)</f>
        <v>297.71100000000001</v>
      </c>
      <c r="M42" s="120">
        <f>+($C42+($D42/(Budgetark!$G$6)+$E42*3/4))*$F42+N42+O42/(Budgetark!$G$6)</f>
        <v>0</v>
      </c>
      <c r="N42" s="121">
        <f t="shared" si="1"/>
        <v>0</v>
      </c>
      <c r="O42" s="122">
        <f t="shared" si="2"/>
        <v>0</v>
      </c>
    </row>
    <row r="43" spans="1:16" x14ac:dyDescent="0.2">
      <c r="A43" s="95" t="s">
        <v>28</v>
      </c>
      <c r="B43" s="108" t="s">
        <v>20</v>
      </c>
      <c r="C43" s="203"/>
      <c r="D43" s="203"/>
      <c r="E43" s="203"/>
      <c r="F43" s="109">
        <f t="shared" si="8"/>
        <v>156.69</v>
      </c>
      <c r="G43" s="109">
        <f>+I8</f>
        <v>78.344999999999999</v>
      </c>
      <c r="H43" s="109"/>
      <c r="I43" s="109"/>
      <c r="J43" s="117"/>
      <c r="K43" s="118">
        <f>+M8</f>
        <v>117.5175</v>
      </c>
      <c r="L43" s="119">
        <f>SUM(F43:J43)</f>
        <v>235.035</v>
      </c>
      <c r="M43" s="120">
        <f>+($C43+($D43/(Budgetark!$G$6)+$E43*3/4))*$F43+N43+O43/(Budgetark!$G$6)</f>
        <v>0</v>
      </c>
      <c r="N43" s="121">
        <f t="shared" si="1"/>
        <v>0</v>
      </c>
      <c r="O43" s="122">
        <f t="shared" si="2"/>
        <v>0</v>
      </c>
    </row>
    <row r="44" spans="1:16" x14ac:dyDescent="0.2">
      <c r="A44" s="95" t="s">
        <v>28</v>
      </c>
      <c r="B44" s="108" t="s">
        <v>21</v>
      </c>
      <c r="C44" s="203"/>
      <c r="D44" s="203"/>
      <c r="E44" s="203"/>
      <c r="F44" s="109">
        <f t="shared" si="8"/>
        <v>156.69</v>
      </c>
      <c r="G44" s="109">
        <f>+I8</f>
        <v>78.344999999999999</v>
      </c>
      <c r="H44" s="109"/>
      <c r="I44" s="109">
        <f>+K8</f>
        <v>56.4084</v>
      </c>
      <c r="J44" s="117"/>
      <c r="K44" s="118">
        <f>+M8</f>
        <v>117.5175</v>
      </c>
      <c r="L44" s="119">
        <f>SUM(F44:J44)</f>
        <v>291.4434</v>
      </c>
      <c r="M44" s="120">
        <f>+($C44+($D44/(Budgetark!$G$6)+$E44*3/4))*$F44+N44+O44/(Budgetark!$G$6)</f>
        <v>0</v>
      </c>
      <c r="N44" s="121">
        <f t="shared" si="1"/>
        <v>0</v>
      </c>
      <c r="O44" s="122">
        <f t="shared" si="2"/>
        <v>0</v>
      </c>
      <c r="P44" s="128"/>
    </row>
    <row r="45" spans="1:16" ht="13.2" thickBot="1" x14ac:dyDescent="0.25">
      <c r="A45" s="95" t="s">
        <v>28</v>
      </c>
      <c r="B45" s="108" t="s">
        <v>22</v>
      </c>
      <c r="C45" s="203"/>
      <c r="D45" s="203"/>
      <c r="E45" s="203"/>
      <c r="F45" s="109">
        <f t="shared" si="8"/>
        <v>156.69</v>
      </c>
      <c r="G45" s="109">
        <f>+I8</f>
        <v>78.344999999999999</v>
      </c>
      <c r="H45" s="109"/>
      <c r="I45" s="109" t="s">
        <v>19</v>
      </c>
      <c r="J45" s="117">
        <f>+L8</f>
        <v>62.676000000000002</v>
      </c>
      <c r="K45" s="130">
        <f>+M8</f>
        <v>117.5175</v>
      </c>
      <c r="L45" s="131">
        <f>SUM(F45:J45)</f>
        <v>297.71100000000001</v>
      </c>
      <c r="M45" s="120">
        <f>+($C45+($D45/(Budgetark!$G$6)+$E45*3/4))*$F45+N45+O45/(Budgetark!$G$6)</f>
        <v>0</v>
      </c>
      <c r="N45" s="121">
        <f t="shared" si="1"/>
        <v>0</v>
      </c>
      <c r="O45" s="122">
        <f t="shared" si="2"/>
        <v>0</v>
      </c>
    </row>
    <row r="46" spans="1:16" x14ac:dyDescent="0.2">
      <c r="A46" s="132" t="s">
        <v>0</v>
      </c>
      <c r="B46" s="133"/>
      <c r="C46" s="134">
        <f>SUM(C12:C45)</f>
        <v>0</v>
      </c>
      <c r="D46" s="134">
        <f>SUM(D12:D45)</f>
        <v>0</v>
      </c>
      <c r="E46" s="134">
        <f>SUM(E12:E45)</f>
        <v>0</v>
      </c>
      <c r="F46" s="125">
        <f>C46+E46+D46/(Budgetark!G6)</f>
        <v>0</v>
      </c>
      <c r="G46" s="125">
        <f>C42+C43+C44+C45+(D42+D43+D44+D45)/(Budgetark!G6)</f>
        <v>0</v>
      </c>
      <c r="H46" s="135">
        <f>C38+C39+C40+(D38+D39+D40)/(Budgetark!G6)</f>
        <v>0</v>
      </c>
      <c r="I46" s="135">
        <f>C14+C24+C29+C34+C39+C44+C19+(D14+D24+D29+D34+D39+D44+D19)/(Budgetark!G6)</f>
        <v>0</v>
      </c>
      <c r="J46" s="135">
        <f>C12+(D12+D15+D17+D20+D22+D25+D27+D30+D32+D35+D37+D40+D42+D45)/(Budgetark!G6)+C15+C17+C20+C22+C25+C27+C30+C32+C35+C37+C40+C42+C45</f>
        <v>0</v>
      </c>
      <c r="K46" s="125"/>
      <c r="L46" s="125"/>
      <c r="M46" s="11"/>
      <c r="N46" s="128">
        <f>SUM(N12:N45)</f>
        <v>0</v>
      </c>
      <c r="O46" s="128">
        <f>SUM(O12:O45)</f>
        <v>0</v>
      </c>
      <c r="P46" s="128"/>
    </row>
    <row r="47" spans="1:16" x14ac:dyDescent="0.2">
      <c r="A47" s="136"/>
      <c r="B47" s="2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1"/>
      <c r="N47" s="124"/>
    </row>
    <row r="48" spans="1:16" x14ac:dyDescent="0.2">
      <c r="A48" s="39"/>
      <c r="B48" s="2"/>
      <c r="C48" s="125"/>
      <c r="D48" s="125"/>
      <c r="E48" s="125"/>
      <c r="F48" s="125" t="s">
        <v>29</v>
      </c>
      <c r="G48" s="125" t="s">
        <v>30</v>
      </c>
      <c r="H48" s="125"/>
      <c r="I48" s="125"/>
      <c r="J48" s="125"/>
      <c r="K48" s="125"/>
      <c r="L48" s="125"/>
      <c r="M48" s="11"/>
    </row>
    <row r="49" spans="1:21" x14ac:dyDescent="0.2">
      <c r="A49" s="137" t="s">
        <v>69</v>
      </c>
      <c r="B49" s="138"/>
      <c r="C49" s="139"/>
      <c r="D49" s="139"/>
      <c r="E49" s="80">
        <f>(C46+E46)/7+D46/(E6-C6+1)</f>
        <v>0</v>
      </c>
      <c r="F49" s="140">
        <v>8</v>
      </c>
      <c r="G49" s="109">
        <f>+I8</f>
        <v>78.344999999999999</v>
      </c>
      <c r="H49" s="141"/>
      <c r="I49" s="110"/>
      <c r="J49" s="125"/>
      <c r="K49" s="142" t="s">
        <v>31</v>
      </c>
      <c r="L49" s="134"/>
      <c r="M49" s="83">
        <f>E49*F49*G49/(Budgetark!G7)</f>
        <v>0</v>
      </c>
      <c r="Q49" s="143"/>
    </row>
    <row r="50" spans="1:21" x14ac:dyDescent="0.2">
      <c r="A50" s="39"/>
      <c r="B50" s="2"/>
      <c r="C50" s="110"/>
      <c r="D50" s="110"/>
      <c r="E50" s="110" t="s">
        <v>32</v>
      </c>
      <c r="F50" s="144" t="s">
        <v>33</v>
      </c>
      <c r="G50" s="110"/>
      <c r="H50" s="110"/>
      <c r="I50" s="110"/>
      <c r="J50" s="110"/>
      <c r="K50" s="110"/>
      <c r="L50" s="110"/>
      <c r="M50" s="145"/>
      <c r="Q50" s="143"/>
    </row>
    <row r="51" spans="1:21" x14ac:dyDescent="0.2">
      <c r="A51" s="137" t="s">
        <v>217</v>
      </c>
      <c r="B51" s="138"/>
      <c r="C51" s="139"/>
      <c r="D51" s="139"/>
      <c r="E51" s="203">
        <f>+ROUNDUP(($F$46*52.1428571428571)/Forudsætninger!$F$84,0)</f>
        <v>0</v>
      </c>
      <c r="F51" s="204">
        <v>0</v>
      </c>
      <c r="G51" s="139">
        <f>+SUM(G8:H8)</f>
        <v>156.69</v>
      </c>
      <c r="H51" s="110"/>
      <c r="I51" s="110"/>
      <c r="J51" s="125"/>
      <c r="K51" s="142" t="s">
        <v>31</v>
      </c>
      <c r="L51" s="134"/>
      <c r="M51" s="146">
        <f>+(E51*F51*G51)/(Budgetark!$G$7)</f>
        <v>0</v>
      </c>
      <c r="Q51" s="143"/>
    </row>
    <row r="52" spans="1:21" x14ac:dyDescent="0.2">
      <c r="A52" s="39"/>
      <c r="B52" s="2"/>
      <c r="C52" s="110"/>
      <c r="D52" s="110"/>
      <c r="E52" s="110"/>
      <c r="F52" s="144"/>
      <c r="G52" s="147"/>
      <c r="H52" s="110"/>
      <c r="I52" s="110"/>
      <c r="J52" s="125"/>
      <c r="K52" s="125"/>
      <c r="L52" s="125"/>
      <c r="M52" s="88"/>
    </row>
    <row r="53" spans="1:21" x14ac:dyDescent="0.2">
      <c r="A53" s="137" t="s">
        <v>87</v>
      </c>
      <c r="B53" s="138"/>
      <c r="C53" s="139"/>
      <c r="D53" s="139"/>
      <c r="E53" s="203">
        <f>+ROUNDUP(E51*0.3,0)</f>
        <v>0</v>
      </c>
      <c r="F53" s="204">
        <v>0</v>
      </c>
      <c r="G53" s="139" t="e">
        <f>+SUM(M12:M45)/F46</f>
        <v>#DIV/0!</v>
      </c>
      <c r="H53" s="110"/>
      <c r="I53" s="110"/>
      <c r="J53" s="125"/>
      <c r="K53" s="142" t="s">
        <v>31</v>
      </c>
      <c r="L53" s="134"/>
      <c r="M53" s="146" t="e">
        <f>+E53*F53*G53/(Budgetark!$G$7)</f>
        <v>#DIV/0!</v>
      </c>
      <c r="Q53" s="143"/>
    </row>
    <row r="54" spans="1:21" x14ac:dyDescent="0.2">
      <c r="A54" s="39"/>
      <c r="B54" s="2"/>
      <c r="C54" s="110"/>
      <c r="D54" s="110"/>
      <c r="E54" s="110" t="s">
        <v>1</v>
      </c>
      <c r="F54" s="110" t="s">
        <v>283</v>
      </c>
      <c r="G54" s="147"/>
      <c r="H54" s="110"/>
      <c r="I54" s="110"/>
      <c r="J54" s="125"/>
      <c r="K54" s="125"/>
      <c r="L54" s="125"/>
      <c r="M54" s="88"/>
    </row>
    <row r="55" spans="1:21" x14ac:dyDescent="0.2">
      <c r="A55" s="137" t="s">
        <v>34</v>
      </c>
      <c r="B55" s="138"/>
      <c r="C55" s="139"/>
      <c r="D55" s="139"/>
      <c r="E55" s="203">
        <v>0</v>
      </c>
      <c r="F55" s="109">
        <f>(F46-E46/4)*Budgetark!G6+(E51*F51+E53*F53)*Budgetark!G6/Budgetark!G7</f>
        <v>0</v>
      </c>
      <c r="G55" s="148"/>
      <c r="H55" s="110"/>
      <c r="I55" s="110"/>
      <c r="J55" s="125"/>
      <c r="K55" s="142" t="s">
        <v>31</v>
      </c>
      <c r="L55" s="134"/>
      <c r="M55" s="88">
        <f>(E55*F55)/(Budgetark!$G$6)</f>
        <v>0</v>
      </c>
      <c r="Q55" s="143"/>
    </row>
    <row r="56" spans="1:21" x14ac:dyDescent="0.2">
      <c r="A56" s="39"/>
      <c r="B56" s="2"/>
      <c r="C56" s="110"/>
      <c r="D56" s="110"/>
      <c r="E56" s="110" t="s">
        <v>36</v>
      </c>
      <c r="F56" s="144"/>
      <c r="G56" s="110"/>
      <c r="H56" s="110"/>
      <c r="I56" s="110"/>
      <c r="J56" s="110"/>
      <c r="K56" s="110"/>
      <c r="L56" s="110"/>
      <c r="M56" s="149"/>
    </row>
    <row r="57" spans="1:21" x14ac:dyDescent="0.2">
      <c r="A57" s="137" t="s">
        <v>35</v>
      </c>
      <c r="B57" s="138"/>
      <c r="C57" s="139"/>
      <c r="D57" s="139"/>
      <c r="E57" s="150" t="e">
        <f>SUM(M12:M51)+((M61+M62+M63)/3)+M55+M53</f>
        <v>#DIV/0!</v>
      </c>
      <c r="F57" s="148">
        <f>+Forudsætninger!B47</f>
        <v>0.125</v>
      </c>
      <c r="G57" s="148"/>
      <c r="H57" s="110"/>
      <c r="I57" s="110"/>
      <c r="J57" s="125"/>
      <c r="K57" s="142" t="s">
        <v>31</v>
      </c>
      <c r="L57" s="134"/>
      <c r="M57" s="88" t="e">
        <f>E57*F57</f>
        <v>#DIV/0!</v>
      </c>
      <c r="P57" s="124"/>
      <c r="Q57" s="143"/>
    </row>
    <row r="58" spans="1:21" x14ac:dyDescent="0.2">
      <c r="A58" s="39"/>
      <c r="B58" s="2"/>
      <c r="C58" s="110"/>
      <c r="D58" s="110"/>
      <c r="E58" s="110" t="s">
        <v>36</v>
      </c>
      <c r="G58" s="147"/>
      <c r="H58" s="110"/>
      <c r="I58" s="110"/>
      <c r="J58" s="125"/>
      <c r="K58" s="125"/>
      <c r="L58" s="125"/>
      <c r="M58" s="88"/>
    </row>
    <row r="59" spans="1:21" x14ac:dyDescent="0.2">
      <c r="A59" s="137" t="s">
        <v>219</v>
      </c>
      <c r="B59" s="138"/>
      <c r="C59" s="139"/>
      <c r="D59" s="205" t="s">
        <v>280</v>
      </c>
      <c r="E59" s="150" t="e">
        <f>E57</f>
        <v>#DIV/0!</v>
      </c>
      <c r="F59" s="148">
        <f>+IF(D59="Ja",Forudsætninger!B48,0)</f>
        <v>0</v>
      </c>
      <c r="G59" s="148"/>
      <c r="H59" s="110"/>
      <c r="I59" s="110"/>
      <c r="J59" s="125"/>
      <c r="K59" s="142" t="s">
        <v>31</v>
      </c>
      <c r="L59" s="134"/>
      <c r="M59" s="88" t="e">
        <f>E59*F59</f>
        <v>#DIV/0!</v>
      </c>
      <c r="P59" s="151"/>
      <c r="Q59" s="143"/>
      <c r="R59" s="124"/>
      <c r="S59" s="124"/>
    </row>
    <row r="60" spans="1:21" x14ac:dyDescent="0.2">
      <c r="A60" s="39"/>
      <c r="B60" s="2"/>
      <c r="C60" s="110"/>
      <c r="D60" s="110"/>
      <c r="E60" s="110" t="s">
        <v>36</v>
      </c>
      <c r="F60" s="144" t="s">
        <v>38</v>
      </c>
      <c r="G60" s="110"/>
      <c r="H60" s="110"/>
      <c r="I60" s="110"/>
      <c r="J60" s="125"/>
      <c r="K60" s="125"/>
      <c r="L60" s="125"/>
      <c r="M60" s="88"/>
    </row>
    <row r="61" spans="1:21" x14ac:dyDescent="0.2">
      <c r="A61" s="137" t="s">
        <v>39</v>
      </c>
      <c r="B61" s="138"/>
      <c r="C61" s="139"/>
      <c r="D61" s="139"/>
      <c r="E61" s="152">
        <f>(F55/Budgetark!G6)*G8</f>
        <v>0</v>
      </c>
      <c r="F61" s="148">
        <f>+Forudsætninger!B51</f>
        <v>0.14000000000000001</v>
      </c>
      <c r="G61" s="109"/>
      <c r="H61" s="110"/>
      <c r="I61" s="110"/>
      <c r="J61" s="125"/>
      <c r="K61" s="142" t="s">
        <v>31</v>
      </c>
      <c r="L61" s="134"/>
      <c r="M61" s="146">
        <f>E61*F61</f>
        <v>0</v>
      </c>
      <c r="Q61" s="143"/>
      <c r="S61" s="124"/>
    </row>
    <row r="62" spans="1:21" x14ac:dyDescent="0.2">
      <c r="A62" s="137" t="s">
        <v>40</v>
      </c>
      <c r="B62" s="138"/>
      <c r="C62" s="139"/>
      <c r="D62" s="139"/>
      <c r="E62" s="152">
        <f>I46*K8+J46*L8</f>
        <v>0</v>
      </c>
      <c r="F62" s="148">
        <f>+Forudsætninger!B52</f>
        <v>8.1500000000000003E-2</v>
      </c>
      <c r="G62" s="109"/>
      <c r="H62" s="110"/>
      <c r="I62" s="110"/>
      <c r="J62" s="125"/>
      <c r="K62" s="142" t="s">
        <v>31</v>
      </c>
      <c r="L62" s="134"/>
      <c r="M62" s="146">
        <f>E62*F62</f>
        <v>0</v>
      </c>
      <c r="N62" s="153"/>
      <c r="P62" s="153"/>
      <c r="Q62" s="143"/>
      <c r="U62" s="153"/>
    </row>
    <row r="63" spans="1:21" x14ac:dyDescent="0.2">
      <c r="A63" s="137" t="s">
        <v>94</v>
      </c>
      <c r="B63" s="138"/>
      <c r="C63" s="139"/>
      <c r="D63" s="139"/>
      <c r="E63" s="152">
        <f>G46*I8+H46*J8+M49</f>
        <v>0</v>
      </c>
      <c r="F63" s="148">
        <f>+Forudsætninger!B53</f>
        <v>8.1500000000000003E-2</v>
      </c>
      <c r="G63" s="109"/>
      <c r="H63" s="110"/>
      <c r="I63" s="110"/>
      <c r="J63" s="125"/>
      <c r="K63" s="142" t="s">
        <v>31</v>
      </c>
      <c r="L63" s="134"/>
      <c r="M63" s="146">
        <f>E63*F63</f>
        <v>0</v>
      </c>
      <c r="N63" s="153"/>
      <c r="P63" s="153"/>
      <c r="U63" s="153"/>
    </row>
    <row r="64" spans="1:21" x14ac:dyDescent="0.2">
      <c r="A64" s="154"/>
      <c r="B64" s="133"/>
      <c r="C64" s="155"/>
      <c r="D64" s="155"/>
      <c r="E64" s="110" t="s">
        <v>2</v>
      </c>
      <c r="F64" s="110" t="s">
        <v>78</v>
      </c>
      <c r="G64" s="125" t="s">
        <v>46</v>
      </c>
      <c r="K64" s="125"/>
      <c r="L64" s="125"/>
      <c r="M64" s="156"/>
      <c r="R64" s="153"/>
      <c r="S64" s="153"/>
      <c r="T64" s="153"/>
    </row>
    <row r="65" spans="1:19" x14ac:dyDescent="0.2">
      <c r="A65" s="137" t="s">
        <v>198</v>
      </c>
      <c r="B65" s="157"/>
      <c r="C65" s="158"/>
      <c r="D65" s="158"/>
      <c r="E65" s="159">
        <f>(F46*Budgetark!G7+$E$51*$F$51+$E$53*$F$53)/Forudsætninger!$F$84*Forudsætninger!$F$80/(Budgetark!G7)</f>
        <v>0</v>
      </c>
      <c r="F65" s="159">
        <f>(F46*Budgetark!G7+$E$51*$F$51+$E$53*$F$53)/Forudsætninger!$F$84*(Forudsætninger!$F$82+Forudsætninger!$F$83)/(Budgetark!G7)</f>
        <v>0</v>
      </c>
      <c r="G65" s="160">
        <f>(F46*Budgetark!G7+$E$51*$F$51+$E$53*$F$53)/Forudsætninger!$F$84*Forudsætninger!$F$81/(Budgetark!G7)</f>
        <v>0</v>
      </c>
      <c r="K65" s="142" t="s">
        <v>31</v>
      </c>
      <c r="L65" s="134"/>
      <c r="M65" s="83">
        <f>E65+F65+G65</f>
        <v>0</v>
      </c>
      <c r="Q65" s="143"/>
      <c r="R65" s="161"/>
    </row>
    <row r="66" spans="1:19" x14ac:dyDescent="0.2">
      <c r="A66" s="136"/>
      <c r="B66" s="2"/>
      <c r="C66" s="110"/>
      <c r="D66" s="110"/>
      <c r="E66" s="110" t="s">
        <v>153</v>
      </c>
      <c r="F66" s="110" t="s">
        <v>261</v>
      </c>
      <c r="G66" s="147"/>
      <c r="H66" s="162"/>
      <c r="I66" s="162"/>
      <c r="J66" s="162"/>
      <c r="K66" s="125"/>
      <c r="L66" s="125"/>
      <c r="M66" s="88"/>
      <c r="Q66" s="143"/>
      <c r="R66" s="161"/>
    </row>
    <row r="67" spans="1:19" x14ac:dyDescent="0.2">
      <c r="A67" s="163" t="s">
        <v>265</v>
      </c>
      <c r="B67" s="138"/>
      <c r="C67" s="139"/>
      <c r="D67" s="109"/>
      <c r="E67" s="80">
        <f>Forudsætninger!D97</f>
        <v>20</v>
      </c>
      <c r="F67" s="203">
        <f>+ROUNDUP(($F$46*52.1428571428571)/Forudsætninger!$F$84,0)</f>
        <v>0</v>
      </c>
      <c r="G67" s="148"/>
      <c r="H67" s="162"/>
      <c r="I67" s="162"/>
      <c r="J67" s="162"/>
      <c r="K67" s="142" t="s">
        <v>31</v>
      </c>
      <c r="L67" s="134"/>
      <c r="M67" s="83">
        <f>E67*F67/Budgetark!G7</f>
        <v>0</v>
      </c>
      <c r="Q67" s="143"/>
      <c r="R67" s="161"/>
    </row>
    <row r="68" spans="1:19" x14ac:dyDescent="0.2">
      <c r="A68" s="39"/>
      <c r="B68" s="2"/>
      <c r="C68" s="110"/>
      <c r="D68" s="110"/>
      <c r="E68" s="110"/>
      <c r="F68" s="144"/>
      <c r="G68" s="110" t="s">
        <v>80</v>
      </c>
      <c r="H68" s="110"/>
      <c r="I68" s="110"/>
      <c r="J68" s="110"/>
      <c r="K68" s="110"/>
      <c r="L68" s="110"/>
      <c r="M68" s="11"/>
      <c r="R68" s="124"/>
      <c r="S68" s="124"/>
    </row>
    <row r="69" spans="1:19" x14ac:dyDescent="0.2">
      <c r="A69" s="163" t="s">
        <v>42</v>
      </c>
      <c r="B69" s="138"/>
      <c r="C69" s="139"/>
      <c r="D69" s="139"/>
      <c r="E69" s="80"/>
      <c r="F69" s="109"/>
      <c r="G69" s="139">
        <f>+Forudsætninger!B57</f>
        <v>0.47</v>
      </c>
      <c r="H69" s="110"/>
      <c r="I69" s="110"/>
      <c r="J69" s="110"/>
      <c r="K69" s="142" t="s">
        <v>31</v>
      </c>
      <c r="L69" s="134"/>
      <c r="M69" s="83">
        <f>(F46+($E$51*$F$51+$E$53*$F$53)/Budgetark!G7)*G69</f>
        <v>0</v>
      </c>
    </row>
    <row r="70" spans="1:19" ht="22.65" customHeight="1" x14ac:dyDescent="0.2">
      <c r="A70" s="39"/>
      <c r="B70" s="2"/>
      <c r="C70" s="110"/>
      <c r="D70" s="110"/>
      <c r="E70" s="125" t="s">
        <v>153</v>
      </c>
      <c r="F70" s="164" t="s">
        <v>155</v>
      </c>
      <c r="G70" s="165" t="s">
        <v>154</v>
      </c>
      <c r="H70" s="110"/>
      <c r="I70" s="110"/>
      <c r="J70" s="110"/>
      <c r="K70" s="110"/>
      <c r="L70" s="110"/>
      <c r="M70" s="11"/>
    </row>
    <row r="71" spans="1:19" x14ac:dyDescent="0.2">
      <c r="A71" s="163" t="s">
        <v>287</v>
      </c>
      <c r="B71" s="166"/>
      <c r="C71" s="167"/>
      <c r="D71" s="139"/>
      <c r="E71" s="80">
        <f>Forudsætninger!D64*G8</f>
        <v>78.344999999999999</v>
      </c>
      <c r="F71" s="203">
        <v>0</v>
      </c>
      <c r="G71" s="206">
        <v>0</v>
      </c>
      <c r="H71" s="168"/>
      <c r="I71" s="168"/>
      <c r="J71" s="168"/>
      <c r="K71" s="142" t="s">
        <v>31</v>
      </c>
      <c r="L71" s="169"/>
      <c r="M71" s="83">
        <f>+E71*F71*G71/(Budgetark!G6)</f>
        <v>0</v>
      </c>
    </row>
    <row r="72" spans="1:19" x14ac:dyDescent="0.2">
      <c r="A72" s="39"/>
      <c r="B72" s="2"/>
      <c r="C72" s="110"/>
      <c r="D72" s="110"/>
      <c r="E72" s="125" t="s">
        <v>153</v>
      </c>
      <c r="F72" s="144"/>
      <c r="G72" s="165"/>
      <c r="H72" s="110"/>
      <c r="I72" s="110"/>
      <c r="J72" s="110"/>
      <c r="K72" s="110"/>
      <c r="L72" s="110"/>
      <c r="M72" s="11"/>
    </row>
    <row r="73" spans="1:19" x14ac:dyDescent="0.2">
      <c r="A73" s="163" t="s">
        <v>288</v>
      </c>
      <c r="B73" s="166"/>
      <c r="C73" s="167"/>
      <c r="D73" s="139"/>
      <c r="E73" s="80">
        <f>+Forudsætninger!D68</f>
        <v>400</v>
      </c>
      <c r="F73" s="109"/>
      <c r="G73" s="206">
        <v>0</v>
      </c>
      <c r="H73" s="168"/>
      <c r="I73" s="168"/>
      <c r="J73" s="168"/>
      <c r="K73" s="142" t="s">
        <v>31</v>
      </c>
      <c r="L73" s="169"/>
      <c r="M73" s="83">
        <f>+E73*G73/(Budgetark!G6)</f>
        <v>0</v>
      </c>
    </row>
    <row r="74" spans="1:19" ht="20.399999999999999" x14ac:dyDescent="0.2">
      <c r="A74" s="39"/>
      <c r="B74" s="2"/>
      <c r="C74" s="110"/>
      <c r="D74" s="110"/>
      <c r="E74" s="125" t="s">
        <v>153</v>
      </c>
      <c r="F74" s="144" t="s">
        <v>218</v>
      </c>
      <c r="G74" s="165" t="s">
        <v>157</v>
      </c>
      <c r="H74" s="110"/>
      <c r="I74" s="110"/>
      <c r="J74" s="110"/>
      <c r="K74" s="110"/>
      <c r="L74" s="110"/>
      <c r="M74" s="11"/>
    </row>
    <row r="75" spans="1:19" x14ac:dyDescent="0.2">
      <c r="A75" s="163" t="s">
        <v>289</v>
      </c>
      <c r="B75" s="166"/>
      <c r="C75" s="167"/>
      <c r="D75" s="139"/>
      <c r="E75" s="80">
        <f>+G8*Forudsætninger!D72</f>
        <v>78.344999999999999</v>
      </c>
      <c r="F75" s="203">
        <v>0</v>
      </c>
      <c r="G75" s="206">
        <v>0</v>
      </c>
      <c r="H75" s="168"/>
      <c r="I75" s="168"/>
      <c r="J75" s="168"/>
      <c r="K75" s="142" t="s">
        <v>31</v>
      </c>
      <c r="L75" s="169"/>
      <c r="M75" s="83">
        <f>+E75*F75*G75/(Budgetark!G6)</f>
        <v>0</v>
      </c>
    </row>
    <row r="76" spans="1:19" ht="13.2" thickBot="1" x14ac:dyDescent="0.25">
      <c r="A76" s="39"/>
      <c r="B76" s="2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1"/>
      <c r="R76" s="111"/>
    </row>
    <row r="77" spans="1:19" ht="13.2" thickBot="1" x14ac:dyDescent="0.25">
      <c r="A77" s="171" t="s">
        <v>43</v>
      </c>
      <c r="B77" s="172"/>
      <c r="C77" s="172"/>
      <c r="D77" s="172"/>
      <c r="E77" s="172"/>
      <c r="F77" s="172"/>
      <c r="G77" s="172"/>
      <c r="H77" s="172"/>
      <c r="I77" s="172"/>
      <c r="J77" s="172"/>
      <c r="K77" s="172"/>
      <c r="L77" s="172"/>
      <c r="M77" s="173" t="e">
        <f>SUM(M12:M76)</f>
        <v>#DIV/0!</v>
      </c>
    </row>
    <row r="78" spans="1:1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9" x14ac:dyDescent="0.2">
      <c r="A79" s="2" t="s">
        <v>44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74" t="e">
        <f>M77*(Budgetark!G6)</f>
        <v>#DIV/0!</v>
      </c>
      <c r="N79" s="128"/>
    </row>
    <row r="80" spans="1:19" x14ac:dyDescent="0.2">
      <c r="A80" s="175" t="s">
        <v>45</v>
      </c>
      <c r="B80" s="175"/>
      <c r="C80" s="360" t="s">
        <v>422</v>
      </c>
      <c r="D80" s="361"/>
      <c r="E80" s="207"/>
      <c r="F80" s="175"/>
      <c r="G80" s="175"/>
      <c r="H80" s="175"/>
      <c r="I80" s="175"/>
      <c r="J80" s="175"/>
      <c r="K80" s="175"/>
      <c r="L80" s="175"/>
      <c r="M80" s="176" t="e">
        <f>M79*(1+IF(E80&gt;0,E80,IF(AND(F8=13,Forudsætninger!F90*100&gt;VLOOKUP(YEAR(C6),Tabel1[],2,FALSE)),Forudsætninger!F90,(VLOOKUP(YEAR(C6),Tabel1[],2,FALSE))/100)))</f>
        <v>#DIV/0!</v>
      </c>
      <c r="N80" s="128"/>
      <c r="P80" s="290"/>
    </row>
    <row r="81" spans="1:14" x14ac:dyDescent="0.2">
      <c r="A81" s="2" t="s">
        <v>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74" t="e">
        <f>M79/(Budgetark!$G$6/(Budgetark!$G$7/12))</f>
        <v>#DIV/0!</v>
      </c>
    </row>
    <row r="82" spans="1:14" x14ac:dyDescent="0.2">
      <c r="A82" s="175" t="s">
        <v>63</v>
      </c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6" t="e">
        <f>M80/(Budgetark!$G$6/(Budgetark!$G$7/12))</f>
        <v>#DIV/0!</v>
      </c>
    </row>
    <row r="83" spans="1:14" x14ac:dyDescent="0.2">
      <c r="A83" s="2" t="s">
        <v>220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77" t="e">
        <f>(M79)/(Budgetark!$G$16-Budgetark!$G$15)</f>
        <v>#DIV/0!</v>
      </c>
    </row>
    <row r="84" spans="1:14" x14ac:dyDescent="0.2">
      <c r="A84" s="175" t="s">
        <v>221</v>
      </c>
      <c r="B84" s="178"/>
      <c r="C84" s="178"/>
      <c r="D84" s="178"/>
      <c r="E84" s="178"/>
      <c r="F84" s="178"/>
      <c r="G84" s="178"/>
      <c r="H84" s="179"/>
      <c r="I84" s="178"/>
      <c r="J84" s="178"/>
      <c r="K84" s="178"/>
      <c r="L84" s="178"/>
      <c r="M84" s="300" t="e">
        <f>(M80)/(Budgetark!$G$16-Budgetark!$G$15)</f>
        <v>#DIV/0!</v>
      </c>
    </row>
    <row r="85" spans="1:14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180"/>
      <c r="N85" s="128"/>
    </row>
    <row r="86" spans="1:14" x14ac:dyDescent="0.2">
      <c r="A86" s="2" t="s">
        <v>260</v>
      </c>
      <c r="B86" s="2"/>
      <c r="C86" s="2"/>
      <c r="D86" s="2"/>
      <c r="E86" s="181">
        <f>Administration!D9</f>
        <v>0</v>
      </c>
      <c r="F86" s="2"/>
      <c r="G86" s="2"/>
      <c r="H86" s="2"/>
      <c r="I86" s="2"/>
      <c r="J86" s="2"/>
      <c r="K86" s="2"/>
      <c r="L86" s="2"/>
      <c r="M86" s="180" t="e">
        <f>+M80*E86</f>
        <v>#DIV/0!</v>
      </c>
      <c r="N86" s="128"/>
    </row>
    <row r="87" spans="1:14" x14ac:dyDescent="0.2">
      <c r="A87" s="175" t="s">
        <v>145</v>
      </c>
      <c r="B87" s="178"/>
      <c r="C87" s="178"/>
      <c r="D87" s="178"/>
      <c r="E87" s="178"/>
      <c r="F87" s="178"/>
      <c r="G87" s="178"/>
      <c r="H87" s="178"/>
      <c r="I87" s="179"/>
      <c r="J87" s="178"/>
      <c r="K87" s="178"/>
      <c r="L87" s="178"/>
      <c r="M87" s="182" t="e">
        <f>M86/(Budgetark!$G$6*7/(Budgetark!$G$7*7/12))</f>
        <v>#DIV/0!</v>
      </c>
    </row>
    <row r="88" spans="1:14" x14ac:dyDescent="0.2">
      <c r="H88" s="128"/>
      <c r="M88" s="183"/>
    </row>
    <row r="89" spans="1:14" x14ac:dyDescent="0.2">
      <c r="A89" s="3" t="s">
        <v>458</v>
      </c>
      <c r="D89" s="24" t="s">
        <v>411</v>
      </c>
      <c r="E89" s="110" t="s">
        <v>89</v>
      </c>
      <c r="F89" s="24"/>
      <c r="G89" s="110" t="s">
        <v>80</v>
      </c>
      <c r="M89" s="110" t="s">
        <v>92</v>
      </c>
    </row>
    <row r="90" spans="1:14" x14ac:dyDescent="0.2">
      <c r="A90" s="137" t="s">
        <v>106</v>
      </c>
      <c r="B90" s="138"/>
      <c r="C90" s="139"/>
      <c r="D90" s="203" t="s">
        <v>413</v>
      </c>
      <c r="E90" s="80">
        <f>F46*Budgetark!G6+($E$51*$F$51+$E$53*$F$53+$E$94*$F$94)*Budgetark!G6/Budgetark!G7</f>
        <v>0</v>
      </c>
      <c r="F90" s="170"/>
      <c r="G90" s="170">
        <f>+Forudsætninger!E94</f>
        <v>1.566951566951567</v>
      </c>
      <c r="H90" s="110"/>
      <c r="J90" s="125"/>
      <c r="K90" s="142" t="s">
        <v>82</v>
      </c>
      <c r="L90" s="134"/>
      <c r="M90" s="83">
        <f>IF(D90="Nej",0,E90*G90)</f>
        <v>0</v>
      </c>
    </row>
    <row r="91" spans="1:14" x14ac:dyDescent="0.2">
      <c r="A91" s="39"/>
      <c r="B91" s="2"/>
      <c r="C91" s="110"/>
      <c r="D91" s="110"/>
      <c r="E91" s="110" t="s">
        <v>89</v>
      </c>
      <c r="F91" s="144"/>
      <c r="G91" s="110" t="str">
        <f>+IF(Forudsætninger!$D$108=0,"kr/time","kr/år")</f>
        <v>kr/time</v>
      </c>
      <c r="H91" s="110"/>
      <c r="I91" s="110"/>
      <c r="J91" s="110"/>
      <c r="K91" s="110"/>
      <c r="L91" s="110"/>
      <c r="M91" s="11"/>
    </row>
    <row r="92" spans="1:14" x14ac:dyDescent="0.2">
      <c r="A92" s="163" t="s">
        <v>81</v>
      </c>
      <c r="B92" s="166"/>
      <c r="C92" s="167"/>
      <c r="D92" s="203" t="s">
        <v>413</v>
      </c>
      <c r="E92" s="80">
        <f>IF(Forudsætninger!E108=0,1,E90)</f>
        <v>1</v>
      </c>
      <c r="F92" s="170"/>
      <c r="G92" s="213">
        <f>+IF(Forudsætninger!D108=0,Forudsætninger!E108,Forudsætninger!D108)</f>
        <v>0</v>
      </c>
      <c r="H92" s="168"/>
      <c r="I92" s="168"/>
      <c r="J92" s="168"/>
      <c r="K92" s="142" t="s">
        <v>82</v>
      </c>
      <c r="L92" s="169"/>
      <c r="M92" s="83">
        <f>IF(D92="Nej",0,E92*G92)</f>
        <v>0</v>
      </c>
    </row>
    <row r="93" spans="1:14" x14ac:dyDescent="0.2">
      <c r="A93" s="39"/>
      <c r="B93" s="2"/>
      <c r="C93" s="110"/>
      <c r="D93" s="110"/>
      <c r="E93" s="110" t="s">
        <v>32</v>
      </c>
      <c r="F93" s="144" t="s">
        <v>33</v>
      </c>
      <c r="G93" s="110"/>
      <c r="H93" s="110"/>
      <c r="I93" s="110"/>
      <c r="J93" s="110"/>
      <c r="K93" s="110"/>
      <c r="L93" s="110"/>
      <c r="M93" s="11"/>
    </row>
    <row r="94" spans="1:14" x14ac:dyDescent="0.2">
      <c r="A94" s="163" t="s">
        <v>222</v>
      </c>
      <c r="B94" s="166"/>
      <c r="C94" s="167"/>
      <c r="D94" s="139"/>
      <c r="E94" s="80">
        <f>+E51</f>
        <v>0</v>
      </c>
      <c r="F94" s="203">
        <v>0</v>
      </c>
      <c r="G94" s="170">
        <f>+SUM(G8:H8)*(1+Forudsætninger!B47)+SUM(G8:H8)*Forudsætninger!B51+Forudsætninger!G58+G69+SUM(Forudsætninger!F80:F83)/Forudsætninger!F84</f>
        <v>202.87729444444446</v>
      </c>
      <c r="H94" s="168"/>
      <c r="I94" s="162"/>
      <c r="J94" s="168"/>
      <c r="K94" s="142" t="s">
        <v>82</v>
      </c>
      <c r="L94" s="169"/>
      <c r="M94" s="83">
        <f>+E94*F94*G94</f>
        <v>0</v>
      </c>
    </row>
    <row r="95" spans="1:14" x14ac:dyDescent="0.2">
      <c r="A95" s="39"/>
      <c r="B95" s="2"/>
      <c r="C95" s="110"/>
      <c r="D95" s="110"/>
      <c r="E95" s="125" t="s">
        <v>295</v>
      </c>
      <c r="G95" s="164" t="s">
        <v>32</v>
      </c>
      <c r="H95" s="110"/>
      <c r="I95" s="110"/>
      <c r="J95" s="110"/>
      <c r="K95" s="110"/>
      <c r="L95" s="110"/>
      <c r="M95" s="11"/>
    </row>
    <row r="96" spans="1:14" ht="22.65" customHeight="1" x14ac:dyDescent="0.2">
      <c r="A96" s="352" t="s">
        <v>297</v>
      </c>
      <c r="B96" s="353"/>
      <c r="C96" s="354"/>
      <c r="D96" s="265" t="s">
        <v>280</v>
      </c>
      <c r="E96" s="80">
        <f>+VLOOKUP(YEAR(C6),Tabel1[],3)</f>
        <v>2372.0629965135508</v>
      </c>
      <c r="F96" s="265" t="s">
        <v>280</v>
      </c>
      <c r="G96" s="109">
        <f>IF(F96="Årlige ansatte",Administration!F27,IF(F96="Faktiske ansatte",E51,))</f>
        <v>0</v>
      </c>
      <c r="H96" s="168"/>
      <c r="I96" s="168"/>
      <c r="J96" s="168"/>
      <c r="K96" s="142" t="s">
        <v>82</v>
      </c>
      <c r="L96" s="169"/>
      <c r="M96" s="83">
        <f>IF(D96="Overhead",+E96*G96*Budgetark!G6/Budgetark!G7,0)</f>
        <v>0</v>
      </c>
    </row>
    <row r="97" spans="1:13" ht="13.2" thickBot="1" x14ac:dyDescent="0.25">
      <c r="A97" s="39"/>
      <c r="B97" s="2"/>
      <c r="C97" s="110"/>
      <c r="D97" s="110"/>
      <c r="E97" s="110"/>
      <c r="F97" s="144"/>
      <c r="G97" s="110"/>
      <c r="H97" s="110"/>
      <c r="I97" s="110"/>
      <c r="J97" s="110"/>
      <c r="K97" s="110"/>
      <c r="L97" s="110"/>
      <c r="M97" s="11"/>
    </row>
    <row r="98" spans="1:13" ht="13.2" thickBot="1" x14ac:dyDescent="0.25">
      <c r="A98" s="171" t="s">
        <v>146</v>
      </c>
      <c r="B98" s="172"/>
      <c r="C98" s="172"/>
      <c r="D98" s="172"/>
      <c r="E98" s="172"/>
      <c r="F98" s="172"/>
      <c r="G98" s="172"/>
      <c r="H98" s="172"/>
      <c r="I98" s="172"/>
      <c r="J98" s="172"/>
      <c r="K98" s="172"/>
      <c r="L98" s="172"/>
      <c r="M98" s="173">
        <f>+SUM(M90:M96)</f>
        <v>0</v>
      </c>
    </row>
    <row r="99" spans="1:13" x14ac:dyDescent="0.2">
      <c r="A99" s="39"/>
      <c r="B99" s="2"/>
      <c r="C99" s="110"/>
      <c r="D99" s="110"/>
      <c r="E99" s="110"/>
      <c r="F99" s="144"/>
      <c r="G99" s="110"/>
      <c r="H99" s="110"/>
      <c r="I99" s="110"/>
      <c r="J99" s="110"/>
      <c r="K99" s="110"/>
      <c r="L99" s="110"/>
      <c r="M99" s="2"/>
    </row>
    <row r="100" spans="1:13" x14ac:dyDescent="0.2">
      <c r="A100" s="2" t="s">
        <v>147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85" t="e">
        <f>+(M80+M98-M96)/(Budgetark!G6*7/(Budgetark!G7*7/12))</f>
        <v>#DIV/0!</v>
      </c>
    </row>
    <row r="101" spans="1:13" s="103" customFormat="1" x14ac:dyDescent="0.2">
      <c r="A101" s="186" t="s">
        <v>148</v>
      </c>
      <c r="B101" s="186"/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M101" s="187" t="e">
        <f>+M87+M96/(Budgetark!$G$6/(Budgetark!$G$7/12))</f>
        <v>#DIV/0!</v>
      </c>
    </row>
    <row r="102" spans="1:13" x14ac:dyDescent="0.2">
      <c r="A102" s="39"/>
      <c r="B102" s="2"/>
      <c r="C102" s="110"/>
      <c r="D102" s="110"/>
      <c r="E102" s="110"/>
      <c r="F102" s="144"/>
      <c r="G102" s="110"/>
      <c r="H102" s="110"/>
      <c r="I102" s="110"/>
      <c r="J102" s="110"/>
      <c r="K102" s="110"/>
      <c r="L102" s="110"/>
      <c r="M102" s="2"/>
    </row>
    <row r="103" spans="1:13" x14ac:dyDescent="0.2">
      <c r="A103" s="3" t="s">
        <v>79</v>
      </c>
      <c r="G103" s="110"/>
    </row>
    <row r="104" spans="1:13" x14ac:dyDescent="0.2">
      <c r="A104" s="39"/>
      <c r="B104" s="2"/>
      <c r="C104" s="110"/>
      <c r="D104" s="110"/>
      <c r="E104" s="110" t="s">
        <v>91</v>
      </c>
      <c r="F104" s="144"/>
      <c r="G104" s="110"/>
      <c r="H104" s="110"/>
      <c r="I104" s="110"/>
      <c r="J104" s="110"/>
      <c r="K104" s="110"/>
      <c r="L104" s="110"/>
      <c r="M104" s="2"/>
    </row>
    <row r="105" spans="1:13" x14ac:dyDescent="0.2">
      <c r="A105" s="163" t="s">
        <v>90</v>
      </c>
      <c r="B105" s="166"/>
      <c r="C105" s="167"/>
      <c r="D105" s="167"/>
      <c r="E105" s="207">
        <v>0</v>
      </c>
      <c r="F105" s="184"/>
      <c r="G105" s="170"/>
      <c r="H105" s="168"/>
      <c r="I105" s="168"/>
      <c r="J105" s="168"/>
      <c r="K105" s="142" t="s">
        <v>82</v>
      </c>
      <c r="L105" s="169"/>
      <c r="M105" s="83" t="e">
        <f>+M80*E105</f>
        <v>#DIV/0!</v>
      </c>
    </row>
    <row r="106" spans="1:13" x14ac:dyDescent="0.2">
      <c r="A106" s="39"/>
      <c r="B106" s="2"/>
      <c r="C106" s="110"/>
      <c r="D106" s="110"/>
      <c r="E106" s="110" t="s">
        <v>224</v>
      </c>
      <c r="F106" s="144"/>
      <c r="G106" s="110"/>
      <c r="H106" s="110"/>
      <c r="I106" s="110"/>
      <c r="J106" s="110"/>
      <c r="K106" s="110"/>
      <c r="L106" s="110"/>
      <c r="M106" s="11"/>
    </row>
    <row r="107" spans="1:13" x14ac:dyDescent="0.2">
      <c r="A107" s="163" t="s">
        <v>95</v>
      </c>
      <c r="B107" s="166"/>
      <c r="C107" s="167"/>
      <c r="D107" s="167"/>
      <c r="E107" s="207">
        <v>0</v>
      </c>
      <c r="F107" s="184"/>
      <c r="G107" s="170"/>
      <c r="H107" s="168"/>
      <c r="I107" s="168"/>
      <c r="J107" s="168"/>
      <c r="K107" s="142" t="s">
        <v>82</v>
      </c>
      <c r="L107" s="169"/>
      <c r="M107" s="83" t="e">
        <f>+M80*E107</f>
        <v>#DIV/0!</v>
      </c>
    </row>
    <row r="108" spans="1:13" x14ac:dyDescent="0.2">
      <c r="A108" s="39"/>
      <c r="B108" s="2"/>
      <c r="C108" s="110"/>
      <c r="D108" s="110"/>
      <c r="E108" s="125" t="s">
        <v>460</v>
      </c>
      <c r="F108" s="164" t="s">
        <v>61</v>
      </c>
      <c r="G108" s="110"/>
      <c r="H108" s="110"/>
      <c r="I108" s="110"/>
      <c r="J108" s="110"/>
      <c r="K108" s="110"/>
      <c r="L108" s="110"/>
      <c r="M108" s="11"/>
    </row>
    <row r="109" spans="1:13" x14ac:dyDescent="0.2">
      <c r="A109" s="163" t="s">
        <v>112</v>
      </c>
      <c r="B109" s="166"/>
      <c r="C109" s="167"/>
      <c r="D109" s="139"/>
      <c r="E109" s="203">
        <v>0</v>
      </c>
      <c r="F109" s="170">
        <f>+Budgetark!G16</f>
        <v>0</v>
      </c>
      <c r="G109" s="170"/>
      <c r="H109" s="168"/>
      <c r="I109" s="168"/>
      <c r="J109" s="168"/>
      <c r="K109" s="142" t="s">
        <v>82</v>
      </c>
      <c r="L109" s="169"/>
      <c r="M109" s="83">
        <f>+E109*F109</f>
        <v>0</v>
      </c>
    </row>
    <row r="110" spans="1:13" x14ac:dyDescent="0.2">
      <c r="A110" s="39"/>
      <c r="B110" s="2"/>
      <c r="C110" s="110"/>
      <c r="D110" s="144" t="s">
        <v>275</v>
      </c>
      <c r="E110" s="125" t="s">
        <v>415</v>
      </c>
      <c r="G110" s="110"/>
      <c r="H110" s="110"/>
      <c r="I110" s="110"/>
      <c r="J110" s="110"/>
      <c r="K110" s="110"/>
      <c r="L110" s="110"/>
      <c r="M110" s="11"/>
    </row>
    <row r="111" spans="1:13" x14ac:dyDescent="0.2">
      <c r="A111" s="163" t="s">
        <v>225</v>
      </c>
      <c r="B111" s="166"/>
      <c r="C111" s="167"/>
      <c r="D111" s="203" t="s">
        <v>280</v>
      </c>
      <c r="E111" s="188">
        <f>Forudsætninger!D103</f>
        <v>0</v>
      </c>
      <c r="F111" s="170"/>
      <c r="G111" s="170"/>
      <c r="H111" s="168"/>
      <c r="I111" s="168"/>
      <c r="J111" s="168"/>
      <c r="K111" s="142" t="s">
        <v>82</v>
      </c>
      <c r="L111" s="169"/>
      <c r="M111" s="83">
        <f>+IF(D111="Ja",E111,0)</f>
        <v>0</v>
      </c>
    </row>
    <row r="112" spans="1:13" x14ac:dyDescent="0.2">
      <c r="A112" s="39"/>
      <c r="B112" s="2"/>
      <c r="C112" s="110"/>
      <c r="D112" s="110"/>
      <c r="E112" s="144" t="s">
        <v>179</v>
      </c>
      <c r="F112" s="144" t="s">
        <v>119</v>
      </c>
      <c r="G112" s="110"/>
      <c r="H112" s="110"/>
      <c r="I112" s="110"/>
      <c r="J112" s="110"/>
      <c r="K112" s="110"/>
      <c r="L112" s="110"/>
      <c r="M112" s="11"/>
    </row>
    <row r="113" spans="1:13" x14ac:dyDescent="0.2">
      <c r="A113" s="163" t="s">
        <v>120</v>
      </c>
      <c r="B113" s="166"/>
      <c r="C113" s="167"/>
      <c r="D113" s="139"/>
      <c r="E113" s="188">
        <f>Forudsætninger!D104</f>
        <v>0</v>
      </c>
      <c r="F113" s="203">
        <v>0</v>
      </c>
      <c r="G113" s="170"/>
      <c r="H113" s="168"/>
      <c r="I113" s="168"/>
      <c r="J113" s="168"/>
      <c r="K113" s="142" t="s">
        <v>82</v>
      </c>
      <c r="L113" s="169"/>
      <c r="M113" s="83">
        <f>+IF($D$111="Ja",E113*F113,0)</f>
        <v>0</v>
      </c>
    </row>
    <row r="114" spans="1:13" x14ac:dyDescent="0.2">
      <c r="A114" s="39"/>
      <c r="B114" s="2"/>
      <c r="C114" s="110"/>
      <c r="D114" s="110"/>
      <c r="E114" s="125" t="s">
        <v>116</v>
      </c>
      <c r="F114" s="144" t="s">
        <v>117</v>
      </c>
      <c r="G114" s="110"/>
      <c r="H114" s="110"/>
      <c r="I114" s="110"/>
      <c r="J114" s="110"/>
      <c r="K114" s="110"/>
      <c r="L114" s="110"/>
      <c r="M114" s="11"/>
    </row>
    <row r="115" spans="1:13" x14ac:dyDescent="0.2">
      <c r="A115" s="163" t="s">
        <v>118</v>
      </c>
      <c r="B115" s="166"/>
      <c r="C115" s="167"/>
      <c r="D115" s="139"/>
      <c r="E115" s="80">
        <f>+Forudsætninger!D105</f>
        <v>3.94</v>
      </c>
      <c r="F115" s="203">
        <v>0</v>
      </c>
      <c r="G115" s="170"/>
      <c r="H115" s="168"/>
      <c r="I115" s="168"/>
      <c r="J115" s="168"/>
      <c r="K115" s="142" t="s">
        <v>82</v>
      </c>
      <c r="L115" s="169"/>
      <c r="M115" s="83">
        <f>+IF($D$111="Ja",E115*F115,0)</f>
        <v>0</v>
      </c>
    </row>
    <row r="116" spans="1:13" ht="13.2" thickBot="1" x14ac:dyDescent="0.25">
      <c r="A116" s="189"/>
      <c r="B116" s="189"/>
      <c r="C116" s="190"/>
      <c r="D116" s="191"/>
      <c r="E116" s="191"/>
      <c r="F116" s="191"/>
      <c r="G116" s="192"/>
      <c r="H116" s="168"/>
      <c r="I116" s="168"/>
      <c r="J116" s="168"/>
      <c r="K116" s="193"/>
      <c r="L116" s="194"/>
      <c r="M116" s="127"/>
    </row>
    <row r="117" spans="1:13" ht="13.2" thickBot="1" x14ac:dyDescent="0.25">
      <c r="A117" s="171" t="s">
        <v>149</v>
      </c>
      <c r="B117" s="172"/>
      <c r="C117" s="172"/>
      <c r="D117" s="172"/>
      <c r="E117" s="172"/>
      <c r="F117" s="172"/>
      <c r="G117" s="172"/>
      <c r="H117" s="172"/>
      <c r="I117" s="172"/>
      <c r="J117" s="172"/>
      <c r="K117" s="172"/>
      <c r="L117" s="172"/>
      <c r="M117" s="173" t="e">
        <f>SUM(M105:O115)</f>
        <v>#DIV/0!</v>
      </c>
    </row>
    <row r="118" spans="1:13" x14ac:dyDescent="0.2">
      <c r="A118" s="2"/>
      <c r="M118" s="183"/>
    </row>
    <row r="119" spans="1:13" x14ac:dyDescent="0.2">
      <c r="A119" s="186" t="s">
        <v>271</v>
      </c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87" t="e">
        <f>+(M80+M117+M98+M86)</f>
        <v>#DIV/0!</v>
      </c>
    </row>
    <row r="120" spans="1:13" x14ac:dyDescent="0.2">
      <c r="A120" s="2"/>
      <c r="M120" s="183"/>
    </row>
    <row r="121" spans="1:13" x14ac:dyDescent="0.2">
      <c r="A121" s="3" t="s">
        <v>194</v>
      </c>
      <c r="B121" s="2"/>
      <c r="C121" s="2"/>
      <c r="D121" s="2"/>
      <c r="E121" s="2"/>
      <c r="F121" s="2"/>
      <c r="G121" s="2"/>
      <c r="H121" s="2"/>
      <c r="I121" s="2"/>
      <c r="J121" s="2"/>
      <c r="M121" s="183"/>
    </row>
    <row r="122" spans="1:13" x14ac:dyDescent="0.2">
      <c r="A122" s="2" t="s">
        <v>70</v>
      </c>
      <c r="B122" s="2" t="s">
        <v>423</v>
      </c>
      <c r="C122" s="2"/>
      <c r="D122" s="2"/>
      <c r="E122" s="2"/>
      <c r="F122" s="2"/>
      <c r="G122" s="2"/>
      <c r="H122" s="2"/>
      <c r="I122" s="2"/>
      <c r="J122" s="2"/>
      <c r="M122" s="183"/>
    </row>
    <row r="123" spans="1:13" x14ac:dyDescent="0.2">
      <c r="A123" s="3" t="s">
        <v>73</v>
      </c>
      <c r="B123" s="195" t="s">
        <v>424</v>
      </c>
      <c r="C123" s="2"/>
      <c r="D123" s="2"/>
      <c r="E123" s="2"/>
      <c r="F123" s="2"/>
      <c r="G123" s="2"/>
      <c r="H123" s="2"/>
      <c r="I123" s="2"/>
      <c r="J123" s="2"/>
      <c r="M123" s="183"/>
    </row>
    <row r="124" spans="1:13" x14ac:dyDescent="0.2">
      <c r="F124" s="196"/>
      <c r="I124" s="196"/>
      <c r="J124" s="128"/>
      <c r="M124" s="197"/>
    </row>
    <row r="125" spans="1:13" x14ac:dyDescent="0.2">
      <c r="A125" s="3" t="s">
        <v>199</v>
      </c>
      <c r="F125" s="198"/>
      <c r="I125" s="128"/>
      <c r="J125" s="128"/>
      <c r="M125" s="197"/>
    </row>
    <row r="126" spans="1:13" ht="24" customHeight="1" x14ac:dyDescent="0.2">
      <c r="A126" s="363" t="s">
        <v>158</v>
      </c>
      <c r="B126" s="363"/>
      <c r="C126" s="363"/>
      <c r="D126" s="363"/>
      <c r="E126" s="363"/>
      <c r="F126" s="363"/>
      <c r="G126" s="363"/>
      <c r="H126" s="363"/>
      <c r="I126" s="363"/>
      <c r="J126" s="363"/>
      <c r="K126" s="363"/>
      <c r="L126" s="363"/>
      <c r="M126" s="363"/>
    </row>
    <row r="127" spans="1:13" x14ac:dyDescent="0.2">
      <c r="A127" s="2"/>
      <c r="M127" s="197"/>
    </row>
    <row r="128" spans="1:13" x14ac:dyDescent="0.2">
      <c r="A128" s="3" t="s">
        <v>300</v>
      </c>
      <c r="F128" s="198"/>
      <c r="I128" s="196"/>
    </row>
    <row r="129" spans="1:13" ht="24" customHeight="1" x14ac:dyDescent="0.2">
      <c r="A129" s="363" t="s">
        <v>298</v>
      </c>
      <c r="B129" s="363"/>
      <c r="C129" s="363"/>
      <c r="D129" s="363"/>
      <c r="E129" s="363"/>
      <c r="F129" s="363"/>
      <c r="G129" s="363"/>
      <c r="H129" s="363"/>
      <c r="I129" s="363"/>
      <c r="J129" s="363"/>
      <c r="K129" s="363"/>
      <c r="L129" s="363"/>
      <c r="M129" s="363"/>
    </row>
    <row r="131" spans="1:13" x14ac:dyDescent="0.2">
      <c r="A131" s="3" t="s">
        <v>426</v>
      </c>
    </row>
    <row r="132" spans="1:13" x14ac:dyDescent="0.2">
      <c r="A132" s="362" t="s">
        <v>428</v>
      </c>
      <c r="B132" s="362"/>
      <c r="C132" s="362"/>
      <c r="D132" s="362"/>
      <c r="E132" s="362"/>
      <c r="F132" s="362"/>
      <c r="G132" s="362"/>
      <c r="H132" s="362"/>
      <c r="I132" s="362"/>
      <c r="J132" s="362"/>
      <c r="K132" s="362"/>
      <c r="L132" s="362"/>
      <c r="M132" s="362"/>
    </row>
    <row r="133" spans="1:13" x14ac:dyDescent="0.2">
      <c r="A133" s="362" t="s">
        <v>429</v>
      </c>
      <c r="B133" s="362"/>
      <c r="C133" s="362"/>
      <c r="D133" s="362"/>
      <c r="E133" s="362"/>
      <c r="F133" s="362"/>
      <c r="G133" s="362"/>
      <c r="H133" s="362"/>
      <c r="I133" s="362"/>
      <c r="J133" s="362"/>
      <c r="K133" s="362"/>
      <c r="L133" s="362"/>
      <c r="M133" s="362"/>
    </row>
    <row r="134" spans="1:13" x14ac:dyDescent="0.2">
      <c r="A134" s="362" t="s">
        <v>427</v>
      </c>
      <c r="B134" s="362"/>
      <c r="C134" s="362"/>
      <c r="D134" s="362"/>
      <c r="E134" s="362"/>
      <c r="F134" s="362"/>
      <c r="G134" s="362"/>
      <c r="H134" s="362"/>
      <c r="I134" s="362"/>
      <c r="J134" s="362"/>
      <c r="K134" s="362"/>
      <c r="L134" s="362"/>
      <c r="M134" s="362"/>
    </row>
  </sheetData>
  <sheetProtection algorithmName="SHA-512" hashValue="y75zmAcbV0sOCUV7YVQK68cV+L56/2qZF5GnoDzfm790kgcmawlVXczGXnKDqiuBFp+Bd17zzkIrxYADAWOwOg==" saltValue="SU4J8hNIDxcSgie/WJep4g==" spinCount="100000" sheet="1" objects="1" scenarios="1"/>
  <mergeCells count="12">
    <mergeCell ref="A132:M132"/>
    <mergeCell ref="A133:M133"/>
    <mergeCell ref="A134:M134"/>
    <mergeCell ref="A129:M129"/>
    <mergeCell ref="A126:M126"/>
    <mergeCell ref="N10:O10"/>
    <mergeCell ref="I2:M2"/>
    <mergeCell ref="A96:C96"/>
    <mergeCell ref="A8:E8"/>
    <mergeCell ref="B4:C4"/>
    <mergeCell ref="A9:E9"/>
    <mergeCell ref="C80:D80"/>
  </mergeCells>
  <dataValidations xWindow="748" yWindow="509" count="10">
    <dataValidation allowBlank="1" showInputMessage="1" showErrorMessage="1" promptTitle="Til dato" prompt="Indtast slutdato i perioden, dvs. sidste dag i perioden._x000a_dd-mm-åååå_x000a_Eks. ved årsbudget: hvis startdato er 01-04-2019 skal slutdato være 31-03-2020_x000a_" sqref="E6" xr:uid="{FCD3C4CC-A4ED-4497-BF65-84E6FE7B2964}"/>
    <dataValidation type="list" allowBlank="1" showInputMessage="1" showErrorMessage="1" sqref="D111 D59" xr:uid="{00000000-0002-0000-0200-000001000000}">
      <formula1>"Vælg,Ja,Nej"</formula1>
    </dataValidation>
    <dataValidation type="list" allowBlank="1" showInputMessage="1" showErrorMessage="1" sqref="D96" xr:uid="{00000000-0002-0000-0200-000002000000}">
      <formula1>"Vælg, Beregner, Overhead"</formula1>
    </dataValidation>
    <dataValidation type="list" allowBlank="1" showInputMessage="1" showErrorMessage="1" sqref="B4:C4" xr:uid="{00000000-0002-0000-0200-000004000000}">
      <formula1>Kommuneliste</formula1>
    </dataValidation>
    <dataValidation type="list" allowBlank="1" showInputMessage="1" showErrorMessage="1" promptTitle="Vælg type antal ansatte" prompt="Vælg om der skal beregnes med de faktiske hjælpere i ordningen indsat ved &quot;Løse timer&quot; eller der skal benyttes antal forventede årlige hjælpere ud fra gennemsnitsmodellen på faneblad &quot;Administration&quot;, hvor i afløsere samt udskiftning er medtaget. " sqref="F96" xr:uid="{00000000-0002-0000-0200-000005000000}">
      <formula1>"Vælg, Faktiske ansatte, Årlige ansatte"</formula1>
    </dataValidation>
    <dataValidation type="list" allowBlank="1" showInputMessage="1" showErrorMessage="1" sqref="D90 D92" xr:uid="{00000000-0002-0000-0200-000006000000}">
      <formula1>"Ja,Nej"</formula1>
    </dataValidation>
    <dataValidation type="list" allowBlank="1" showInputMessage="1" showErrorMessage="1" promptTitle="SSH eller SSA- aflønning" prompt="Hvis der er tale om BPA-ordning med uddannet personale som SSH'er eller SSA'er, vælges her: SSH-løn eller SSA-løn._x000a_HUSK vælg korrekt løntrin ved løntrin" sqref="F9" xr:uid="{00000000-0002-0000-0200-000007000000}">
      <formula1>Vælg</formula1>
    </dataValidation>
    <dataValidation allowBlank="1" showInputMessage="1" showErrorMessage="1" promptTitle="Indsæt rummelighedsprocent" prompt="Indsæt rummelighedsprocent, hvis det valgte løntrin i beregneren er højere end løntrin 11. Yderligere forklaring af rummelighed, findes i fanebladet &quot;Forudsætninger&quot;. Hvis intet indsættes benyttes de almindelige p/l-fremskrivning faneblad &quot;Administration&quot;" sqref="E80" xr:uid="{00000000-0002-0000-0200-000008000000}"/>
    <dataValidation type="list" allowBlank="1" showInputMessage="1" showErrorMessage="1" promptTitle="Erfaringslønstrin" prompt="For at få den korrekte timepris (inkl. de korrekte tillæg) til det enkelte erfaringslønstrin som hhv SSH'er eller SSA'er vælges her erfaringstrinnet, som skal medtages i budget" sqref="G9" xr:uid="{0F2FFA44-67BC-4D13-BD58-0A4E8AB558B0}">
      <formula1>INDIRECT($F$9)</formula1>
    </dataValidation>
    <dataValidation type="list" allowBlank="1" showInputMessage="1" showErrorMessage="1" promptTitle="Vælg løntrin" prompt="HUSK at vælge løntrin her ved aflønning ift. specielle kvalifikationer ud over almindelig ufaglærte på løntrin 13._x000a_Hvis der skal aflønnes som SSH eller SSA vælges løntrin efter anciienniennitet som i kasserne til højre her for." sqref="F8" xr:uid="{147001ED-A262-42C7-8946-915D4ABD9B8F}">
      <formula1>Løntrin</formula1>
    </dataValidation>
  </dataValidations>
  <pageMargins left="0.7" right="0.7" top="0.75" bottom="0.75" header="0.3" footer="0.3"/>
  <pageSetup paperSize="8" scale="7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39"/>
  <sheetViews>
    <sheetView zoomScaleNormal="100" workbookViewId="0">
      <selection activeCell="B4" sqref="B4:C4"/>
    </sheetView>
  </sheetViews>
  <sheetFormatPr defaultColWidth="9.33203125" defaultRowHeight="12.6" outlineLevelCol="1" x14ac:dyDescent="0.2"/>
  <cols>
    <col min="1" max="1" width="37.33203125" style="100" customWidth="1"/>
    <col min="2" max="2" width="10.6640625" style="100" customWidth="1"/>
    <col min="3" max="3" width="14" style="100" customWidth="1"/>
    <col min="4" max="4" width="18" style="100" customWidth="1"/>
    <col min="5" max="5" width="16.6640625" style="100" customWidth="1"/>
    <col min="6" max="6" width="12.33203125" style="100" bestFit="1" customWidth="1"/>
    <col min="7" max="7" width="11.6640625" style="100" customWidth="1"/>
    <col min="8" max="8" width="11" style="100" bestFit="1" customWidth="1"/>
    <col min="9" max="9" width="12.109375" style="100" bestFit="1" customWidth="1"/>
    <col min="10" max="12" width="9.44140625" style="100" bestFit="1" customWidth="1"/>
    <col min="13" max="13" width="16" style="100" customWidth="1"/>
    <col min="14" max="14" width="15" style="100" hidden="1" customWidth="1" outlineLevel="1"/>
    <col min="15" max="15" width="10.44140625" style="100" hidden="1" customWidth="1" outlineLevel="1"/>
    <col min="16" max="16" width="14.33203125" style="100" bestFit="1" customWidth="1" collapsed="1"/>
    <col min="17" max="17" width="18.109375" style="100" customWidth="1"/>
    <col min="18" max="18" width="12.6640625" style="100" customWidth="1"/>
    <col min="19" max="19" width="9.33203125" style="100"/>
    <col min="20" max="20" width="18.6640625" style="100" customWidth="1"/>
    <col min="21" max="21" width="15.6640625" style="100" bestFit="1" customWidth="1"/>
    <col min="22" max="22" width="12.6640625" style="100" customWidth="1"/>
    <col min="23" max="16384" width="9.33203125" style="100"/>
  </cols>
  <sheetData>
    <row r="1" spans="1:22" ht="18" thickBot="1" x14ac:dyDescent="0.35">
      <c r="A1" s="208" t="s">
        <v>97</v>
      </c>
      <c r="B1" s="99"/>
      <c r="C1" s="99"/>
      <c r="D1" s="99"/>
      <c r="E1" s="99"/>
      <c r="F1" s="99"/>
      <c r="G1" s="99"/>
      <c r="H1" s="99"/>
      <c r="I1" s="99"/>
      <c r="J1" s="99"/>
    </row>
    <row r="2" spans="1:22" ht="16.8" thickBot="1" x14ac:dyDescent="0.35">
      <c r="A2" s="101" t="s">
        <v>226</v>
      </c>
      <c r="B2" s="99"/>
      <c r="C2" s="99"/>
      <c r="D2" s="99"/>
      <c r="E2" s="99"/>
      <c r="F2" s="99"/>
      <c r="G2" s="99"/>
      <c r="H2" s="99"/>
      <c r="I2" s="349" t="s">
        <v>256</v>
      </c>
      <c r="J2" s="350"/>
      <c r="K2" s="350"/>
      <c r="L2" s="350"/>
      <c r="M2" s="351"/>
    </row>
    <row r="3" spans="1:22" ht="19.8" x14ac:dyDescent="0.3">
      <c r="A3" s="209"/>
      <c r="B3" s="99"/>
      <c r="C3" s="99"/>
      <c r="D3" s="99"/>
      <c r="E3" s="99"/>
      <c r="F3" s="99"/>
      <c r="G3" s="99"/>
      <c r="H3" s="99"/>
      <c r="I3" s="99"/>
      <c r="J3" s="99"/>
    </row>
    <row r="4" spans="1:22" ht="16.8" thickBot="1" x14ac:dyDescent="0.35">
      <c r="A4" s="102" t="s">
        <v>3</v>
      </c>
      <c r="B4" s="357" t="s">
        <v>398</v>
      </c>
      <c r="C4" s="358"/>
      <c r="E4" s="103" t="s">
        <v>176</v>
      </c>
      <c r="F4" s="292">
        <f>+VLOOKUP(B4,Kommunenavn,2)</f>
        <v>0</v>
      </c>
      <c r="H4" s="102" t="s">
        <v>4</v>
      </c>
      <c r="J4" s="199"/>
      <c r="K4" s="201"/>
      <c r="L4" s="200"/>
      <c r="O4" s="102"/>
    </row>
    <row r="5" spans="1:22" ht="21.6" x14ac:dyDescent="0.3">
      <c r="A5" s="3" t="s">
        <v>5</v>
      </c>
      <c r="B5" s="2"/>
      <c r="C5" s="202">
        <f>Forudsætninger!B8</f>
        <v>46296</v>
      </c>
      <c r="E5" s="103"/>
      <c r="H5" s="102"/>
      <c r="O5" s="75">
        <v>45474</v>
      </c>
      <c r="Q5" s="306" t="s">
        <v>440</v>
      </c>
      <c r="R5" s="308" t="s">
        <v>446</v>
      </c>
      <c r="T5" s="306" t="s">
        <v>441</v>
      </c>
      <c r="U5" s="308" t="s">
        <v>446</v>
      </c>
    </row>
    <row r="6" spans="1:22" x14ac:dyDescent="0.2">
      <c r="A6" s="3" t="s">
        <v>268</v>
      </c>
      <c r="B6" s="2" t="s">
        <v>269</v>
      </c>
      <c r="C6" s="301">
        <v>46296</v>
      </c>
      <c r="D6" s="2" t="s">
        <v>270</v>
      </c>
      <c r="E6" s="301">
        <v>46660</v>
      </c>
      <c r="F6" s="2"/>
      <c r="G6" s="3"/>
      <c r="H6" s="3"/>
      <c r="I6" s="2"/>
      <c r="J6" s="3"/>
      <c r="K6" s="2"/>
      <c r="L6" s="2"/>
      <c r="Q6" s="62" t="s">
        <v>443</v>
      </c>
      <c r="R6" s="309">
        <v>19</v>
      </c>
      <c r="T6" s="62" t="s">
        <v>443</v>
      </c>
      <c r="U6" s="309">
        <v>24</v>
      </c>
    </row>
    <row r="7" spans="1:22" ht="20.399999999999999" x14ac:dyDescent="0.2">
      <c r="A7" s="3"/>
      <c r="B7" s="2"/>
      <c r="D7" s="3"/>
      <c r="F7" s="106" t="s">
        <v>404</v>
      </c>
      <c r="G7" s="106" t="s">
        <v>451</v>
      </c>
      <c r="H7" s="106" t="s">
        <v>450</v>
      </c>
      <c r="I7" s="107" t="s">
        <v>6</v>
      </c>
      <c r="J7" s="107" t="s">
        <v>7</v>
      </c>
      <c r="K7" s="107" t="s">
        <v>8</v>
      </c>
      <c r="L7" s="107" t="s">
        <v>9</v>
      </c>
      <c r="M7" s="107" t="s">
        <v>257</v>
      </c>
      <c r="Q7" s="62" t="s">
        <v>436</v>
      </c>
      <c r="R7" s="309">
        <v>23</v>
      </c>
      <c r="T7" s="62" t="s">
        <v>436</v>
      </c>
      <c r="U7" s="309">
        <v>30</v>
      </c>
    </row>
    <row r="8" spans="1:22" ht="21.75" customHeight="1" x14ac:dyDescent="0.2">
      <c r="A8" s="355" t="s">
        <v>459</v>
      </c>
      <c r="B8" s="356"/>
      <c r="C8" s="356"/>
      <c r="D8" s="356"/>
      <c r="E8" s="356"/>
      <c r="F8" s="291">
        <v>13</v>
      </c>
      <c r="G8" s="293">
        <f>+INDEX(Timepriser,MATCH(F8,Løntrin,0),MATCH(F4,Stedtillæg,0))</f>
        <v>156.69</v>
      </c>
      <c r="H8" s="293">
        <f>+IFERROR(IF(F9="SSHløn",VLOOKUP(G9,SSHTillæg.,2),VLOOKUP(G9,SSATillæg.,2)),0)</f>
        <v>0</v>
      </c>
      <c r="I8" s="213">
        <f>+SUM(G8:H8)*Forudsætninger!I42</f>
        <v>78.344999999999999</v>
      </c>
      <c r="J8" s="109" cm="1">
        <f t="array" ref="J8">+SUM(G8:H8*Forudsætninger!I41)</f>
        <v>50.140799999999999</v>
      </c>
      <c r="K8" s="109" cm="1">
        <f t="array" ref="K8">+SUM(G8:H8*Forudsætninger!I39)</f>
        <v>56.4084</v>
      </c>
      <c r="L8" s="109">
        <f>+SUM(G8:H8)*Forudsætninger!I40</f>
        <v>62.676000000000002</v>
      </c>
      <c r="M8" s="117" cm="1">
        <f t="array" ref="M8">SUM(G8:H8*Forudsætninger!I44)</f>
        <v>117.5175</v>
      </c>
      <c r="N8" s="71"/>
      <c r="O8" s="110"/>
      <c r="P8" s="210"/>
      <c r="Q8" s="62" t="s">
        <v>437</v>
      </c>
      <c r="R8" s="309">
        <v>25</v>
      </c>
      <c r="T8" s="62" t="s">
        <v>437</v>
      </c>
      <c r="U8" s="309">
        <v>32</v>
      </c>
      <c r="V8" s="151"/>
    </row>
    <row r="9" spans="1:22" ht="24.75" customHeight="1" x14ac:dyDescent="0.2">
      <c r="A9" s="359" t="s">
        <v>449</v>
      </c>
      <c r="B9" s="359"/>
      <c r="C9" s="359"/>
      <c r="D9" s="359"/>
      <c r="E9" s="359"/>
      <c r="F9" s="291" t="s">
        <v>280</v>
      </c>
      <c r="G9" s="305" t="s">
        <v>280</v>
      </c>
      <c r="I9" s="2"/>
      <c r="J9" s="110"/>
      <c r="K9" s="110"/>
      <c r="L9" s="110"/>
      <c r="M9" s="110"/>
      <c r="N9" s="71"/>
      <c r="O9" s="110"/>
      <c r="P9" s="210"/>
      <c r="Q9" s="62" t="s">
        <v>438</v>
      </c>
      <c r="R9" s="309">
        <v>29</v>
      </c>
      <c r="T9" s="62" t="s">
        <v>442</v>
      </c>
      <c r="U9" s="309">
        <v>34</v>
      </c>
      <c r="V9" s="151"/>
    </row>
    <row r="10" spans="1:22" ht="13.2" thickBo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48" t="s">
        <v>216</v>
      </c>
      <c r="O10" s="348"/>
    </row>
    <row r="11" spans="1:22" ht="30.6" x14ac:dyDescent="0.2">
      <c r="A11" s="112"/>
      <c r="B11" s="113" t="s">
        <v>10</v>
      </c>
      <c r="C11" s="113" t="s">
        <v>66</v>
      </c>
      <c r="D11" s="113" t="s">
        <v>49</v>
      </c>
      <c r="E11" s="113" t="s">
        <v>68</v>
      </c>
      <c r="F11" s="113" t="s">
        <v>11</v>
      </c>
      <c r="G11" s="113" t="s">
        <v>12</v>
      </c>
      <c r="H11" s="113" t="s">
        <v>7</v>
      </c>
      <c r="I11" s="113" t="s">
        <v>13</v>
      </c>
      <c r="J11" s="114" t="s">
        <v>14</v>
      </c>
      <c r="K11" s="112" t="s">
        <v>15</v>
      </c>
      <c r="L11" s="115" t="s">
        <v>67</v>
      </c>
      <c r="M11" s="116" t="s">
        <v>16</v>
      </c>
      <c r="N11" s="116" t="s">
        <v>84</v>
      </c>
      <c r="O11" s="116" t="s">
        <v>83</v>
      </c>
    </row>
    <row r="12" spans="1:22" x14ac:dyDescent="0.2">
      <c r="A12" s="95" t="s">
        <v>17</v>
      </c>
      <c r="B12" s="108" t="s">
        <v>18</v>
      </c>
      <c r="C12" s="203"/>
      <c r="D12" s="203"/>
      <c r="E12" s="203"/>
      <c r="F12" s="109">
        <f>+SUM($G$8:$H$8)</f>
        <v>156.69</v>
      </c>
      <c r="G12" s="109" t="s">
        <v>19</v>
      </c>
      <c r="H12" s="109" t="s">
        <v>19</v>
      </c>
      <c r="I12" s="109" t="s">
        <v>19</v>
      </c>
      <c r="J12" s="117">
        <f>+L8</f>
        <v>62.676000000000002</v>
      </c>
      <c r="K12" s="118">
        <f>+M8</f>
        <v>117.5175</v>
      </c>
      <c r="L12" s="119">
        <f>SUM(F12:J12)</f>
        <v>219.36599999999999</v>
      </c>
      <c r="M12" s="120">
        <f>+($C12+($D12/(Budgetark!$J$6)+$E12*3/4))*$F12+N12+O12/(Budgetark!$J$6)</f>
        <v>0</v>
      </c>
      <c r="N12" s="121">
        <f>SUM(G12:J12)*ROUNDUP(C12*2,0)/2</f>
        <v>0</v>
      </c>
      <c r="O12" s="122">
        <f>SUM(G12:J12)*ROUNDUP(D12*2,0)/2</f>
        <v>0</v>
      </c>
    </row>
    <row r="13" spans="1:22" x14ac:dyDescent="0.2">
      <c r="A13" s="95" t="s">
        <v>17</v>
      </c>
      <c r="B13" s="123" t="s">
        <v>20</v>
      </c>
      <c r="C13" s="203"/>
      <c r="D13" s="203"/>
      <c r="E13" s="203"/>
      <c r="F13" s="109">
        <f t="shared" ref="F13:F15" si="0">+SUM($G$8:$H$8)</f>
        <v>156.69</v>
      </c>
      <c r="G13" s="109"/>
      <c r="H13" s="109"/>
      <c r="I13" s="109"/>
      <c r="J13" s="117"/>
      <c r="K13" s="118">
        <f>+M8</f>
        <v>117.5175</v>
      </c>
      <c r="L13" s="119">
        <f>SUM(F13:J13)</f>
        <v>156.69</v>
      </c>
      <c r="M13" s="120">
        <f>+($C13+($D13/(Budgetark!$J$6)+$E13*3/4))*$F13+N13+O13/(Budgetark!$J$6)</f>
        <v>0</v>
      </c>
      <c r="N13" s="121">
        <f t="shared" ref="N13:N45" si="1">SUM(G13:J13)*ROUNDUP(C13*2,0)/2</f>
        <v>0</v>
      </c>
      <c r="O13" s="122">
        <f t="shared" ref="O13:O45" si="2">SUM(G13:J13)*ROUNDUP(D13*2,0)/2</f>
        <v>0</v>
      </c>
    </row>
    <row r="14" spans="1:22" x14ac:dyDescent="0.2">
      <c r="A14" s="95" t="s">
        <v>17</v>
      </c>
      <c r="B14" s="123" t="s">
        <v>21</v>
      </c>
      <c r="C14" s="203"/>
      <c r="D14" s="203"/>
      <c r="E14" s="203"/>
      <c r="F14" s="109">
        <f t="shared" si="0"/>
        <v>156.69</v>
      </c>
      <c r="G14" s="109"/>
      <c r="H14" s="109"/>
      <c r="I14" s="109">
        <f>+K8</f>
        <v>56.4084</v>
      </c>
      <c r="J14" s="117"/>
      <c r="K14" s="118">
        <f>+M8</f>
        <v>117.5175</v>
      </c>
      <c r="L14" s="119">
        <f>SUM(F14:J14)</f>
        <v>213.0984</v>
      </c>
      <c r="M14" s="120">
        <f>+($C14+($D14/(Budgetark!$J$6)+$E14*3/4))*$F14+N14+O14/(Budgetark!$J$6)</f>
        <v>0</v>
      </c>
      <c r="N14" s="121">
        <f t="shared" si="1"/>
        <v>0</v>
      </c>
      <c r="O14" s="122">
        <f t="shared" si="2"/>
        <v>0</v>
      </c>
      <c r="P14" s="124"/>
      <c r="Q14" s="124"/>
    </row>
    <row r="15" spans="1:22" x14ac:dyDescent="0.2">
      <c r="A15" s="95" t="s">
        <v>17</v>
      </c>
      <c r="B15" s="108" t="s">
        <v>22</v>
      </c>
      <c r="C15" s="203"/>
      <c r="D15" s="203"/>
      <c r="E15" s="203"/>
      <c r="F15" s="109">
        <f t="shared" si="0"/>
        <v>156.69</v>
      </c>
      <c r="G15" s="109"/>
      <c r="H15" s="109"/>
      <c r="I15" s="109" t="s">
        <v>19</v>
      </c>
      <c r="J15" s="117">
        <f>+L8</f>
        <v>62.676000000000002</v>
      </c>
      <c r="K15" s="118">
        <f>+M8</f>
        <v>117.5175</v>
      </c>
      <c r="L15" s="119">
        <f>SUM(F15:J15)</f>
        <v>219.36599999999999</v>
      </c>
      <c r="M15" s="120">
        <f>+($C15+($D15/(Budgetark!$J$6)+$E15*3/4))*$F15+N15+O15/(Budgetark!$J$6)</f>
        <v>0</v>
      </c>
      <c r="N15" s="121">
        <f t="shared" si="1"/>
        <v>0</v>
      </c>
      <c r="O15" s="122">
        <f t="shared" si="2"/>
        <v>0</v>
      </c>
    </row>
    <row r="16" spans="1:22" x14ac:dyDescent="0.2">
      <c r="A16" s="39"/>
      <c r="B16" s="2"/>
      <c r="C16" s="125"/>
      <c r="D16" s="125"/>
      <c r="E16" s="125"/>
      <c r="F16" s="125" t="s">
        <v>19</v>
      </c>
      <c r="G16" s="125"/>
      <c r="H16" s="125"/>
      <c r="I16" s="125"/>
      <c r="J16" s="125"/>
      <c r="K16" s="126"/>
      <c r="L16" s="127" t="s">
        <v>19</v>
      </c>
      <c r="M16" s="120"/>
      <c r="N16" s="121"/>
      <c r="O16" s="122"/>
    </row>
    <row r="17" spans="1:16" x14ac:dyDescent="0.2">
      <c r="A17" s="95" t="s">
        <v>23</v>
      </c>
      <c r="B17" s="108" t="s">
        <v>18</v>
      </c>
      <c r="C17" s="203"/>
      <c r="D17" s="203"/>
      <c r="E17" s="203"/>
      <c r="F17" s="109">
        <f t="shared" ref="F17:F20" si="3">+SUM($G$8:$H$8)</f>
        <v>156.69</v>
      </c>
      <c r="G17" s="109" t="s">
        <v>19</v>
      </c>
      <c r="H17" s="109" t="s">
        <v>19</v>
      </c>
      <c r="I17" s="109" t="s">
        <v>19</v>
      </c>
      <c r="J17" s="117">
        <f>+L8</f>
        <v>62.676000000000002</v>
      </c>
      <c r="K17" s="118">
        <f>+M8</f>
        <v>117.5175</v>
      </c>
      <c r="L17" s="119">
        <f>SUM(F17:J17)</f>
        <v>219.36599999999999</v>
      </c>
      <c r="M17" s="120">
        <f>+($C17+($D17/(Budgetark!$J$6)+$E17*3/4))*$F17+N17+O17/(Budgetark!$J$6)</f>
        <v>0</v>
      </c>
      <c r="N17" s="121">
        <f t="shared" si="1"/>
        <v>0</v>
      </c>
      <c r="O17" s="122">
        <f t="shared" si="2"/>
        <v>0</v>
      </c>
      <c r="P17" s="128"/>
    </row>
    <row r="18" spans="1:16" x14ac:dyDescent="0.2">
      <c r="A18" s="95" t="s">
        <v>23</v>
      </c>
      <c r="B18" s="123" t="s">
        <v>20</v>
      </c>
      <c r="C18" s="203"/>
      <c r="D18" s="203"/>
      <c r="E18" s="203"/>
      <c r="F18" s="109">
        <f t="shared" si="3"/>
        <v>156.69</v>
      </c>
      <c r="G18" s="109"/>
      <c r="H18" s="109"/>
      <c r="I18" s="109"/>
      <c r="J18" s="117"/>
      <c r="K18" s="118">
        <f>+M8</f>
        <v>117.5175</v>
      </c>
      <c r="L18" s="119">
        <f>SUM(F18:J18)</f>
        <v>156.69</v>
      </c>
      <c r="M18" s="120">
        <f>+($C18+($D18/(Budgetark!$J$6)+$E18*3/4))*$F18+N18+O18/(Budgetark!$J$6)</f>
        <v>0</v>
      </c>
      <c r="N18" s="121">
        <f t="shared" si="1"/>
        <v>0</v>
      </c>
      <c r="O18" s="122">
        <f t="shared" si="2"/>
        <v>0</v>
      </c>
      <c r="P18" s="128"/>
    </row>
    <row r="19" spans="1:16" x14ac:dyDescent="0.2">
      <c r="A19" s="95" t="s">
        <v>23</v>
      </c>
      <c r="B19" s="123" t="s">
        <v>21</v>
      </c>
      <c r="C19" s="203"/>
      <c r="D19" s="203"/>
      <c r="E19" s="203"/>
      <c r="F19" s="109">
        <f t="shared" si="3"/>
        <v>156.69</v>
      </c>
      <c r="G19" s="109"/>
      <c r="H19" s="109"/>
      <c r="I19" s="109">
        <f>+K8</f>
        <v>56.4084</v>
      </c>
      <c r="J19" s="117"/>
      <c r="K19" s="118">
        <f>+M8</f>
        <v>117.5175</v>
      </c>
      <c r="L19" s="119">
        <f>SUM(F19:J19)</f>
        <v>213.0984</v>
      </c>
      <c r="M19" s="120">
        <f>+($C19+($D19/(Budgetark!$J$6)+$E19*3/4))*$F19+N19+O19/(Budgetark!$J$6)</f>
        <v>0</v>
      </c>
      <c r="N19" s="121">
        <f t="shared" si="1"/>
        <v>0</v>
      </c>
      <c r="O19" s="122">
        <f t="shared" si="2"/>
        <v>0</v>
      </c>
      <c r="P19" s="129"/>
    </row>
    <row r="20" spans="1:16" x14ac:dyDescent="0.2">
      <c r="A20" s="95" t="s">
        <v>23</v>
      </c>
      <c r="B20" s="108" t="s">
        <v>22</v>
      </c>
      <c r="C20" s="203"/>
      <c r="D20" s="203"/>
      <c r="E20" s="203"/>
      <c r="F20" s="109">
        <f t="shared" si="3"/>
        <v>156.69</v>
      </c>
      <c r="G20" s="109"/>
      <c r="H20" s="109"/>
      <c r="I20" s="109" t="s">
        <v>19</v>
      </c>
      <c r="J20" s="117">
        <f>+L8</f>
        <v>62.676000000000002</v>
      </c>
      <c r="K20" s="118">
        <f>+M8</f>
        <v>117.5175</v>
      </c>
      <c r="L20" s="119">
        <f>SUM(F20:J20)</f>
        <v>219.36599999999999</v>
      </c>
      <c r="M20" s="120">
        <f>+($C20+($D20/(Budgetark!$J$6)+$E20*3/4))*$F20+N20+O20/(Budgetark!$J$6)</f>
        <v>0</v>
      </c>
      <c r="N20" s="121">
        <f t="shared" si="1"/>
        <v>0</v>
      </c>
      <c r="O20" s="122">
        <f t="shared" si="2"/>
        <v>0</v>
      </c>
      <c r="P20" s="129"/>
    </row>
    <row r="21" spans="1:16" x14ac:dyDescent="0.2">
      <c r="A21" s="39"/>
      <c r="B21" s="2"/>
      <c r="C21" s="125"/>
      <c r="D21" s="125"/>
      <c r="E21" s="125"/>
      <c r="F21" s="125" t="s">
        <v>19</v>
      </c>
      <c r="G21" s="125"/>
      <c r="H21" s="125"/>
      <c r="I21" s="125"/>
      <c r="J21" s="125"/>
      <c r="K21" s="126"/>
      <c r="L21" s="127" t="s">
        <v>19</v>
      </c>
      <c r="M21" s="120"/>
      <c r="N21" s="121"/>
      <c r="O21" s="122"/>
    </row>
    <row r="22" spans="1:16" x14ac:dyDescent="0.2">
      <c r="A22" s="95" t="s">
        <v>24</v>
      </c>
      <c r="B22" s="108" t="s">
        <v>18</v>
      </c>
      <c r="C22" s="203"/>
      <c r="D22" s="203"/>
      <c r="E22" s="203"/>
      <c r="F22" s="109">
        <f t="shared" ref="F22:F25" si="4">+SUM($G$8:$H$8)</f>
        <v>156.69</v>
      </c>
      <c r="G22" s="109" t="s">
        <v>19</v>
      </c>
      <c r="H22" s="109" t="s">
        <v>19</v>
      </c>
      <c r="I22" s="109" t="s">
        <v>19</v>
      </c>
      <c r="J22" s="117">
        <f>+L8</f>
        <v>62.676000000000002</v>
      </c>
      <c r="K22" s="118">
        <f>+M8</f>
        <v>117.5175</v>
      </c>
      <c r="L22" s="119">
        <f>SUM(F22:J22)</f>
        <v>219.36599999999999</v>
      </c>
      <c r="M22" s="120">
        <f>+($C22+($D22/(Budgetark!$J$6)+$E22*3/4))*$F22+N22+O22/(Budgetark!$J$6)</f>
        <v>0</v>
      </c>
      <c r="N22" s="121">
        <f t="shared" si="1"/>
        <v>0</v>
      </c>
      <c r="O22" s="122">
        <f t="shared" si="2"/>
        <v>0</v>
      </c>
    </row>
    <row r="23" spans="1:16" x14ac:dyDescent="0.2">
      <c r="A23" s="95" t="s">
        <v>24</v>
      </c>
      <c r="B23" s="123" t="s">
        <v>20</v>
      </c>
      <c r="C23" s="203"/>
      <c r="D23" s="203"/>
      <c r="E23" s="203"/>
      <c r="F23" s="109">
        <f t="shared" si="4"/>
        <v>156.69</v>
      </c>
      <c r="G23" s="109"/>
      <c r="H23" s="109"/>
      <c r="I23" s="109"/>
      <c r="J23" s="117"/>
      <c r="K23" s="118">
        <f>+M8</f>
        <v>117.5175</v>
      </c>
      <c r="L23" s="119">
        <f>SUM(F23:J23)</f>
        <v>156.69</v>
      </c>
      <c r="M23" s="120">
        <f>+($C23+($D23/(Budgetark!$J$6)+$E23*3/4))*$F23+N23+O23/(Budgetark!$J$6)</f>
        <v>0</v>
      </c>
      <c r="N23" s="121">
        <f t="shared" si="1"/>
        <v>0</v>
      </c>
      <c r="O23" s="122">
        <f t="shared" si="2"/>
        <v>0</v>
      </c>
    </row>
    <row r="24" spans="1:16" x14ac:dyDescent="0.2">
      <c r="A24" s="95" t="s">
        <v>24</v>
      </c>
      <c r="B24" s="123" t="s">
        <v>21</v>
      </c>
      <c r="C24" s="203"/>
      <c r="D24" s="203"/>
      <c r="E24" s="203"/>
      <c r="F24" s="109">
        <f t="shared" si="4"/>
        <v>156.69</v>
      </c>
      <c r="G24" s="109"/>
      <c r="H24" s="109"/>
      <c r="I24" s="109">
        <f>+K8</f>
        <v>56.4084</v>
      </c>
      <c r="J24" s="117"/>
      <c r="K24" s="118">
        <f>+M8</f>
        <v>117.5175</v>
      </c>
      <c r="L24" s="119">
        <f>SUM(F24:J24)</f>
        <v>213.0984</v>
      </c>
      <c r="M24" s="120">
        <f>+($C24+($D24/(Budgetark!$J$6)+$E24*3/4))*$F24+N24+O24/(Budgetark!$J$6)</f>
        <v>0</v>
      </c>
      <c r="N24" s="121">
        <f t="shared" si="1"/>
        <v>0</v>
      </c>
      <c r="O24" s="122">
        <f t="shared" si="2"/>
        <v>0</v>
      </c>
    </row>
    <row r="25" spans="1:16" x14ac:dyDescent="0.2">
      <c r="A25" s="95" t="s">
        <v>24</v>
      </c>
      <c r="B25" s="108" t="s">
        <v>22</v>
      </c>
      <c r="C25" s="203"/>
      <c r="D25" s="203"/>
      <c r="E25" s="203"/>
      <c r="F25" s="109">
        <f t="shared" si="4"/>
        <v>156.69</v>
      </c>
      <c r="G25" s="109"/>
      <c r="H25" s="109"/>
      <c r="I25" s="109" t="s">
        <v>19</v>
      </c>
      <c r="J25" s="117">
        <f>+L8</f>
        <v>62.676000000000002</v>
      </c>
      <c r="K25" s="118">
        <f>+M8</f>
        <v>117.5175</v>
      </c>
      <c r="L25" s="119">
        <f>SUM(F25:J25)</f>
        <v>219.36599999999999</v>
      </c>
      <c r="M25" s="120">
        <f>+($C25+($D25/(Budgetark!$J$6)+$E25*3/4))*$F25+N25+O25/(Budgetark!$J$6)</f>
        <v>0</v>
      </c>
      <c r="N25" s="121">
        <f t="shared" si="1"/>
        <v>0</v>
      </c>
      <c r="O25" s="122">
        <f t="shared" si="2"/>
        <v>0</v>
      </c>
    </row>
    <row r="26" spans="1:16" x14ac:dyDescent="0.2">
      <c r="A26" s="39"/>
      <c r="B26" s="2"/>
      <c r="C26" s="125"/>
      <c r="D26" s="125"/>
      <c r="E26" s="125"/>
      <c r="F26" s="125" t="s">
        <v>19</v>
      </c>
      <c r="G26" s="125"/>
      <c r="H26" s="125"/>
      <c r="I26" s="125"/>
      <c r="J26" s="125"/>
      <c r="K26" s="126"/>
      <c r="L26" s="127" t="s">
        <v>19</v>
      </c>
      <c r="M26" s="120"/>
      <c r="N26" s="121"/>
      <c r="O26" s="122"/>
    </row>
    <row r="27" spans="1:16" x14ac:dyDescent="0.2">
      <c r="A27" s="95" t="s">
        <v>25</v>
      </c>
      <c r="B27" s="108" t="s">
        <v>18</v>
      </c>
      <c r="C27" s="203"/>
      <c r="D27" s="203"/>
      <c r="E27" s="203"/>
      <c r="F27" s="109">
        <f t="shared" ref="F27:F30" si="5">+SUM($G$8:$H$8)</f>
        <v>156.69</v>
      </c>
      <c r="G27" s="109" t="s">
        <v>19</v>
      </c>
      <c r="H27" s="109" t="s">
        <v>19</v>
      </c>
      <c r="I27" s="109" t="s">
        <v>19</v>
      </c>
      <c r="J27" s="117">
        <f>+L8</f>
        <v>62.676000000000002</v>
      </c>
      <c r="K27" s="118">
        <f>+M8</f>
        <v>117.5175</v>
      </c>
      <c r="L27" s="119">
        <f>SUM(F27:J27)</f>
        <v>219.36599999999999</v>
      </c>
      <c r="M27" s="120">
        <f>+($C27+($D27/(Budgetark!$J$6)+$E27*3/4))*$F27+N27+O27/(Budgetark!$J$6)</f>
        <v>0</v>
      </c>
      <c r="N27" s="121">
        <f t="shared" si="1"/>
        <v>0</v>
      </c>
      <c r="O27" s="122">
        <f t="shared" si="2"/>
        <v>0</v>
      </c>
    </row>
    <row r="28" spans="1:16" x14ac:dyDescent="0.2">
      <c r="A28" s="95" t="s">
        <v>25</v>
      </c>
      <c r="B28" s="123" t="s">
        <v>20</v>
      </c>
      <c r="C28" s="203"/>
      <c r="D28" s="203"/>
      <c r="E28" s="203"/>
      <c r="F28" s="109">
        <f t="shared" si="5"/>
        <v>156.69</v>
      </c>
      <c r="G28" s="109"/>
      <c r="H28" s="109"/>
      <c r="I28" s="109"/>
      <c r="J28" s="117"/>
      <c r="K28" s="118">
        <f>+M8</f>
        <v>117.5175</v>
      </c>
      <c r="L28" s="119">
        <f>SUM(F28:J28)</f>
        <v>156.69</v>
      </c>
      <c r="M28" s="120">
        <f>+($C28+($D28/(Budgetark!$J$6)+$E28*3/4))*$F28+N28+O28/(Budgetark!$J$6)</f>
        <v>0</v>
      </c>
      <c r="N28" s="121">
        <f t="shared" si="1"/>
        <v>0</v>
      </c>
      <c r="O28" s="122">
        <f t="shared" si="2"/>
        <v>0</v>
      </c>
    </row>
    <row r="29" spans="1:16" x14ac:dyDescent="0.2">
      <c r="A29" s="95" t="s">
        <v>25</v>
      </c>
      <c r="B29" s="123" t="s">
        <v>21</v>
      </c>
      <c r="C29" s="203"/>
      <c r="D29" s="203"/>
      <c r="E29" s="203"/>
      <c r="F29" s="109">
        <f t="shared" si="5"/>
        <v>156.69</v>
      </c>
      <c r="G29" s="109"/>
      <c r="H29" s="109"/>
      <c r="I29" s="109">
        <f>+K8</f>
        <v>56.4084</v>
      </c>
      <c r="J29" s="117" t="s">
        <v>19</v>
      </c>
      <c r="K29" s="118">
        <f>+M8</f>
        <v>117.5175</v>
      </c>
      <c r="L29" s="119">
        <f>SUM(F29:J29)</f>
        <v>213.0984</v>
      </c>
      <c r="M29" s="120">
        <f>+($C29+($D29/(Budgetark!$J$6)+$E29*3/4))*$F29+N29+O29/(Budgetark!$J$6)</f>
        <v>0</v>
      </c>
      <c r="N29" s="121">
        <f t="shared" si="1"/>
        <v>0</v>
      </c>
      <c r="O29" s="122">
        <f t="shared" si="2"/>
        <v>0</v>
      </c>
    </row>
    <row r="30" spans="1:16" x14ac:dyDescent="0.2">
      <c r="A30" s="95" t="s">
        <v>25</v>
      </c>
      <c r="B30" s="108" t="s">
        <v>22</v>
      </c>
      <c r="C30" s="203"/>
      <c r="D30" s="203"/>
      <c r="E30" s="203"/>
      <c r="F30" s="109">
        <f t="shared" si="5"/>
        <v>156.69</v>
      </c>
      <c r="G30" s="109"/>
      <c r="H30" s="109"/>
      <c r="I30" s="109" t="s">
        <v>19</v>
      </c>
      <c r="J30" s="117">
        <f>+L8</f>
        <v>62.676000000000002</v>
      </c>
      <c r="K30" s="118">
        <f>+M8</f>
        <v>117.5175</v>
      </c>
      <c r="L30" s="119">
        <f>SUM(F30:J30)</f>
        <v>219.36599999999999</v>
      </c>
      <c r="M30" s="120">
        <f>+($C30+($D30/(Budgetark!$J$6)+$E30*3/4))*$F30+N30+O30/(Budgetark!$J$6)</f>
        <v>0</v>
      </c>
      <c r="N30" s="121">
        <f t="shared" si="1"/>
        <v>0</v>
      </c>
      <c r="O30" s="122">
        <f t="shared" si="2"/>
        <v>0</v>
      </c>
    </row>
    <row r="31" spans="1:16" x14ac:dyDescent="0.2">
      <c r="A31" s="39"/>
      <c r="B31" s="2"/>
      <c r="C31" s="125"/>
      <c r="D31" s="125"/>
      <c r="E31" s="125"/>
      <c r="F31" s="125" t="s">
        <v>19</v>
      </c>
      <c r="G31" s="125"/>
      <c r="H31" s="125"/>
      <c r="I31" s="125"/>
      <c r="J31" s="125"/>
      <c r="K31" s="126"/>
      <c r="L31" s="127" t="s">
        <v>19</v>
      </c>
      <c r="M31" s="120"/>
      <c r="N31" s="121"/>
      <c r="O31" s="122"/>
    </row>
    <row r="32" spans="1:16" x14ac:dyDescent="0.2">
      <c r="A32" s="95" t="s">
        <v>26</v>
      </c>
      <c r="B32" s="108" t="s">
        <v>18</v>
      </c>
      <c r="C32" s="203"/>
      <c r="D32" s="203"/>
      <c r="E32" s="203"/>
      <c r="F32" s="109">
        <f t="shared" ref="F32:F35" si="6">+SUM($G$8:$H$8)</f>
        <v>156.69</v>
      </c>
      <c r="G32" s="109" t="s">
        <v>19</v>
      </c>
      <c r="H32" s="109" t="s">
        <v>19</v>
      </c>
      <c r="I32" s="109" t="s">
        <v>19</v>
      </c>
      <c r="J32" s="117">
        <f>+L8</f>
        <v>62.676000000000002</v>
      </c>
      <c r="K32" s="118">
        <f>+M8</f>
        <v>117.5175</v>
      </c>
      <c r="L32" s="119">
        <f>SUM(F32:J32)</f>
        <v>219.36599999999999</v>
      </c>
      <c r="M32" s="120">
        <f>+($C32+($D32/(Budgetark!$J$6)+$E32*3/4))*$F32+N32+O32/(Budgetark!$J$6)</f>
        <v>0</v>
      </c>
      <c r="N32" s="121">
        <f t="shared" si="1"/>
        <v>0</v>
      </c>
      <c r="O32" s="122">
        <f t="shared" si="2"/>
        <v>0</v>
      </c>
    </row>
    <row r="33" spans="1:16" x14ac:dyDescent="0.2">
      <c r="A33" s="95" t="s">
        <v>26</v>
      </c>
      <c r="B33" s="123" t="s">
        <v>20</v>
      </c>
      <c r="C33" s="203"/>
      <c r="D33" s="203"/>
      <c r="E33" s="203"/>
      <c r="F33" s="109">
        <f t="shared" si="6"/>
        <v>156.69</v>
      </c>
      <c r="G33" s="109"/>
      <c r="H33" s="109"/>
      <c r="I33" s="109"/>
      <c r="J33" s="117"/>
      <c r="K33" s="118">
        <f>+M8</f>
        <v>117.5175</v>
      </c>
      <c r="L33" s="119">
        <f>SUM(F33:J33)</f>
        <v>156.69</v>
      </c>
      <c r="M33" s="120">
        <f>+($C33+($D33/(Budgetark!$J$6)+$E33*3/4))*$F33+N33+O33/(Budgetark!$J$6)</f>
        <v>0</v>
      </c>
      <c r="N33" s="121">
        <f t="shared" si="1"/>
        <v>0</v>
      </c>
      <c r="O33" s="122">
        <f t="shared" si="2"/>
        <v>0</v>
      </c>
    </row>
    <row r="34" spans="1:16" x14ac:dyDescent="0.2">
      <c r="A34" s="95" t="s">
        <v>26</v>
      </c>
      <c r="B34" s="123" t="s">
        <v>21</v>
      </c>
      <c r="C34" s="203"/>
      <c r="D34" s="203"/>
      <c r="E34" s="203"/>
      <c r="F34" s="109">
        <f t="shared" si="6"/>
        <v>156.69</v>
      </c>
      <c r="G34" s="109"/>
      <c r="H34" s="109"/>
      <c r="I34" s="109">
        <f>+K8</f>
        <v>56.4084</v>
      </c>
      <c r="J34" s="117"/>
      <c r="K34" s="118">
        <f>+M8</f>
        <v>117.5175</v>
      </c>
      <c r="L34" s="119">
        <f>SUM(F34:J34)</f>
        <v>213.0984</v>
      </c>
      <c r="M34" s="120">
        <f>+($C34+($D34/(Budgetark!$J$6)+$E34*3/4))*$F34+N34+O34/(Budgetark!$J$6)</f>
        <v>0</v>
      </c>
      <c r="N34" s="121">
        <f t="shared" si="1"/>
        <v>0</v>
      </c>
      <c r="O34" s="122">
        <f t="shared" si="2"/>
        <v>0</v>
      </c>
    </row>
    <row r="35" spans="1:16" x14ac:dyDescent="0.2">
      <c r="A35" s="95" t="s">
        <v>26</v>
      </c>
      <c r="B35" s="108" t="s">
        <v>22</v>
      </c>
      <c r="C35" s="203"/>
      <c r="D35" s="203"/>
      <c r="E35" s="203"/>
      <c r="F35" s="109">
        <f t="shared" si="6"/>
        <v>156.69</v>
      </c>
      <c r="G35" s="109"/>
      <c r="H35" s="109"/>
      <c r="I35" s="109" t="s">
        <v>19</v>
      </c>
      <c r="J35" s="117">
        <f>+L8</f>
        <v>62.676000000000002</v>
      </c>
      <c r="K35" s="118">
        <f>+M8</f>
        <v>117.5175</v>
      </c>
      <c r="L35" s="119">
        <f>SUM(F35:J35)</f>
        <v>219.36599999999999</v>
      </c>
      <c r="M35" s="120">
        <f>+($C35+($D35/(Budgetark!$J$6)+$E35*3/4))*$F35+N35+O35/(Budgetark!$J$6)</f>
        <v>0</v>
      </c>
      <c r="N35" s="121">
        <f t="shared" si="1"/>
        <v>0</v>
      </c>
      <c r="O35" s="122">
        <f t="shared" si="2"/>
        <v>0</v>
      </c>
    </row>
    <row r="36" spans="1:16" x14ac:dyDescent="0.2">
      <c r="A36" s="39"/>
      <c r="B36" s="2"/>
      <c r="C36" s="125"/>
      <c r="D36" s="125"/>
      <c r="E36" s="125"/>
      <c r="F36" s="125" t="s">
        <v>19</v>
      </c>
      <c r="G36" s="125"/>
      <c r="H36" s="125"/>
      <c r="I36" s="125"/>
      <c r="J36" s="125"/>
      <c r="K36" s="126"/>
      <c r="L36" s="127" t="s">
        <v>19</v>
      </c>
      <c r="M36" s="120"/>
      <c r="N36" s="121"/>
      <c r="O36" s="122"/>
    </row>
    <row r="37" spans="1:16" x14ac:dyDescent="0.2">
      <c r="A37" s="95" t="s">
        <v>27</v>
      </c>
      <c r="B37" s="108" t="s">
        <v>18</v>
      </c>
      <c r="C37" s="203"/>
      <c r="D37" s="203"/>
      <c r="E37" s="203"/>
      <c r="F37" s="109">
        <f t="shared" ref="F37:F40" si="7">+SUM($G$8:$H$8)</f>
        <v>156.69</v>
      </c>
      <c r="G37" s="109"/>
      <c r="H37" s="109"/>
      <c r="I37" s="109" t="s">
        <v>19</v>
      </c>
      <c r="J37" s="117">
        <f>+L8</f>
        <v>62.676000000000002</v>
      </c>
      <c r="K37" s="118">
        <f>+M8</f>
        <v>117.5175</v>
      </c>
      <c r="L37" s="119">
        <f>SUM(F37:J37)</f>
        <v>219.36599999999999</v>
      </c>
      <c r="M37" s="120">
        <f>+($C37+($D37/(Budgetark!$J$6)+$E37*3/4))*$F37+N37+O37/(Budgetark!$J$6)</f>
        <v>0</v>
      </c>
      <c r="N37" s="121">
        <f t="shared" si="1"/>
        <v>0</v>
      </c>
      <c r="O37" s="122">
        <f t="shared" si="2"/>
        <v>0</v>
      </c>
    </row>
    <row r="38" spans="1:16" x14ac:dyDescent="0.2">
      <c r="A38" s="95" t="s">
        <v>27</v>
      </c>
      <c r="B38" s="108" t="s">
        <v>20</v>
      </c>
      <c r="C38" s="203"/>
      <c r="D38" s="203"/>
      <c r="E38" s="203"/>
      <c r="F38" s="109">
        <f t="shared" si="7"/>
        <v>156.69</v>
      </c>
      <c r="G38" s="109" t="s">
        <v>19</v>
      </c>
      <c r="H38" s="109">
        <f>+J8</f>
        <v>50.140799999999999</v>
      </c>
      <c r="I38" s="109" t="s">
        <v>19</v>
      </c>
      <c r="J38" s="117"/>
      <c r="K38" s="118">
        <f>+M8</f>
        <v>117.5175</v>
      </c>
      <c r="L38" s="119">
        <f>SUM(F38:J38)</f>
        <v>206.83080000000001</v>
      </c>
      <c r="M38" s="120">
        <f>+($C38+($D38/(Budgetark!$J$6)+$E38*3/4))*$F38+N38+O38/(Budgetark!$J$6)</f>
        <v>0</v>
      </c>
      <c r="N38" s="121">
        <f t="shared" si="1"/>
        <v>0</v>
      </c>
      <c r="O38" s="122">
        <f t="shared" si="2"/>
        <v>0</v>
      </c>
    </row>
    <row r="39" spans="1:16" x14ac:dyDescent="0.2">
      <c r="A39" s="95" t="s">
        <v>27</v>
      </c>
      <c r="B39" s="108" t="s">
        <v>21</v>
      </c>
      <c r="C39" s="203"/>
      <c r="D39" s="203"/>
      <c r="E39" s="203"/>
      <c r="F39" s="109">
        <f t="shared" si="7"/>
        <v>156.69</v>
      </c>
      <c r="G39" s="109" t="s">
        <v>19</v>
      </c>
      <c r="H39" s="109">
        <f>+J8</f>
        <v>50.140799999999999</v>
      </c>
      <c r="I39" s="109">
        <f>+K8</f>
        <v>56.4084</v>
      </c>
      <c r="J39" s="117"/>
      <c r="K39" s="118">
        <f>+M8</f>
        <v>117.5175</v>
      </c>
      <c r="L39" s="119">
        <f>SUM(F39:J39)</f>
        <v>263.23919999999998</v>
      </c>
      <c r="M39" s="120">
        <f>+($C39+($D39/(Budgetark!$J$6)+$E39*3/4))*$F39+N39+O39/(Budgetark!$J$6)</f>
        <v>0</v>
      </c>
      <c r="N39" s="121">
        <f t="shared" si="1"/>
        <v>0</v>
      </c>
      <c r="O39" s="122">
        <f t="shared" si="2"/>
        <v>0</v>
      </c>
    </row>
    <row r="40" spans="1:16" x14ac:dyDescent="0.2">
      <c r="A40" s="95" t="s">
        <v>27</v>
      </c>
      <c r="B40" s="108" t="s">
        <v>22</v>
      </c>
      <c r="C40" s="203"/>
      <c r="D40" s="203"/>
      <c r="E40" s="203"/>
      <c r="F40" s="109">
        <f t="shared" si="7"/>
        <v>156.69</v>
      </c>
      <c r="G40" s="109" t="s">
        <v>19</v>
      </c>
      <c r="H40" s="109">
        <f>+J8</f>
        <v>50.140799999999999</v>
      </c>
      <c r="I40" s="109" t="s">
        <v>19</v>
      </c>
      <c r="J40" s="117">
        <f>+L8</f>
        <v>62.676000000000002</v>
      </c>
      <c r="K40" s="118">
        <f>+M8</f>
        <v>117.5175</v>
      </c>
      <c r="L40" s="119">
        <f>SUM(F40:J40)</f>
        <v>269.5068</v>
      </c>
      <c r="M40" s="120">
        <f>+($C40+($D40/(Budgetark!$J$6)+$E40*3/4))*$F40+N40+O40/(Budgetark!$J$6)</f>
        <v>0</v>
      </c>
      <c r="N40" s="121">
        <f t="shared" si="1"/>
        <v>0</v>
      </c>
      <c r="O40" s="122">
        <f t="shared" si="2"/>
        <v>0</v>
      </c>
    </row>
    <row r="41" spans="1:16" x14ac:dyDescent="0.2">
      <c r="A41" s="39"/>
      <c r="B41" s="2"/>
      <c r="C41" s="125"/>
      <c r="D41" s="125"/>
      <c r="E41" s="125"/>
      <c r="F41" s="125" t="s">
        <v>19</v>
      </c>
      <c r="G41" s="125"/>
      <c r="H41" s="125"/>
      <c r="I41" s="125"/>
      <c r="J41" s="125"/>
      <c r="K41" s="126"/>
      <c r="L41" s="127" t="s">
        <v>19</v>
      </c>
      <c r="M41" s="120"/>
      <c r="N41" s="121"/>
      <c r="O41" s="122"/>
    </row>
    <row r="42" spans="1:16" x14ac:dyDescent="0.2">
      <c r="A42" s="95" t="s">
        <v>28</v>
      </c>
      <c r="B42" s="108" t="s">
        <v>18</v>
      </c>
      <c r="C42" s="203"/>
      <c r="D42" s="203"/>
      <c r="E42" s="203"/>
      <c r="F42" s="109">
        <f t="shared" ref="F42:F45" si="8">+SUM($G$8:$H$8)</f>
        <v>156.69</v>
      </c>
      <c r="G42" s="109">
        <f>+I8</f>
        <v>78.344999999999999</v>
      </c>
      <c r="H42" s="109"/>
      <c r="I42" s="109" t="s">
        <v>19</v>
      </c>
      <c r="J42" s="117">
        <f>+L8</f>
        <v>62.676000000000002</v>
      </c>
      <c r="K42" s="118">
        <f>+M8</f>
        <v>117.5175</v>
      </c>
      <c r="L42" s="119">
        <f>SUM(F42:J42)</f>
        <v>297.71100000000001</v>
      </c>
      <c r="M42" s="120">
        <f>+($C42+($D42/(Budgetark!$J$6)+$E42*3/4))*$F42+N42+O42/(Budgetark!$J$6)</f>
        <v>0</v>
      </c>
      <c r="N42" s="121">
        <f t="shared" si="1"/>
        <v>0</v>
      </c>
      <c r="O42" s="122">
        <f t="shared" si="2"/>
        <v>0</v>
      </c>
    </row>
    <row r="43" spans="1:16" x14ac:dyDescent="0.2">
      <c r="A43" s="95" t="s">
        <v>28</v>
      </c>
      <c r="B43" s="108" t="s">
        <v>20</v>
      </c>
      <c r="C43" s="203"/>
      <c r="D43" s="203"/>
      <c r="E43" s="203"/>
      <c r="F43" s="109">
        <f t="shared" si="8"/>
        <v>156.69</v>
      </c>
      <c r="G43" s="109">
        <f>+I8</f>
        <v>78.344999999999999</v>
      </c>
      <c r="H43" s="109"/>
      <c r="I43" s="109"/>
      <c r="J43" s="117"/>
      <c r="K43" s="118">
        <f>+M8</f>
        <v>117.5175</v>
      </c>
      <c r="L43" s="119">
        <f>SUM(F43:J43)</f>
        <v>235.035</v>
      </c>
      <c r="M43" s="120">
        <f>+($C43+($D43/(Budgetark!$J$6)+$E43*3/4))*$F43+N43+O43/(Budgetark!$J$6)</f>
        <v>0</v>
      </c>
      <c r="N43" s="121">
        <f t="shared" si="1"/>
        <v>0</v>
      </c>
      <c r="O43" s="122">
        <f t="shared" si="2"/>
        <v>0</v>
      </c>
    </row>
    <row r="44" spans="1:16" x14ac:dyDescent="0.2">
      <c r="A44" s="95" t="s">
        <v>28</v>
      </c>
      <c r="B44" s="108" t="s">
        <v>21</v>
      </c>
      <c r="C44" s="203"/>
      <c r="D44" s="203"/>
      <c r="E44" s="203"/>
      <c r="F44" s="109">
        <f t="shared" si="8"/>
        <v>156.69</v>
      </c>
      <c r="G44" s="109">
        <f>+I8</f>
        <v>78.344999999999999</v>
      </c>
      <c r="H44" s="109"/>
      <c r="I44" s="109">
        <f>+K8</f>
        <v>56.4084</v>
      </c>
      <c r="J44" s="117"/>
      <c r="K44" s="118">
        <f>+M8</f>
        <v>117.5175</v>
      </c>
      <c r="L44" s="119">
        <f>SUM(F44:J44)</f>
        <v>291.4434</v>
      </c>
      <c r="M44" s="120">
        <f>+($C44+($D44/(Budgetark!$J$6)+$E44*3/4))*$F44+N44+O44/(Budgetark!$J$6)</f>
        <v>0</v>
      </c>
      <c r="N44" s="121">
        <f t="shared" si="1"/>
        <v>0</v>
      </c>
      <c r="O44" s="122">
        <f t="shared" si="2"/>
        <v>0</v>
      </c>
      <c r="P44" s="128"/>
    </row>
    <row r="45" spans="1:16" ht="13.2" thickBot="1" x14ac:dyDescent="0.25">
      <c r="A45" s="95" t="s">
        <v>28</v>
      </c>
      <c r="B45" s="108" t="s">
        <v>22</v>
      </c>
      <c r="C45" s="203"/>
      <c r="D45" s="203"/>
      <c r="E45" s="203"/>
      <c r="F45" s="109">
        <f t="shared" si="8"/>
        <v>156.69</v>
      </c>
      <c r="G45" s="109">
        <f>+I8</f>
        <v>78.344999999999999</v>
      </c>
      <c r="H45" s="109"/>
      <c r="I45" s="109" t="s">
        <v>19</v>
      </c>
      <c r="J45" s="117">
        <f>+L8</f>
        <v>62.676000000000002</v>
      </c>
      <c r="K45" s="130">
        <f>+M8</f>
        <v>117.5175</v>
      </c>
      <c r="L45" s="131">
        <f>SUM(F45:J45)</f>
        <v>297.71100000000001</v>
      </c>
      <c r="M45" s="120">
        <f>+($C45+($D45/(Budgetark!$J$6)+$E45*3/4))*$F45+N45+O45/(Budgetark!$J$6)</f>
        <v>0</v>
      </c>
      <c r="N45" s="121">
        <f t="shared" si="1"/>
        <v>0</v>
      </c>
      <c r="O45" s="122">
        <f t="shared" si="2"/>
        <v>0</v>
      </c>
    </row>
    <row r="46" spans="1:16" x14ac:dyDescent="0.2">
      <c r="A46" s="132" t="s">
        <v>0</v>
      </c>
      <c r="B46" s="133"/>
      <c r="C46" s="134">
        <f>SUM(C12:C45)</f>
        <v>0</v>
      </c>
      <c r="D46" s="134">
        <f>SUM(D12:D45)</f>
        <v>0</v>
      </c>
      <c r="E46" s="134">
        <f>SUM(E12:E45)</f>
        <v>0</v>
      </c>
      <c r="F46" s="125">
        <f>C46+E46+D46/(Budgetark!J6)</f>
        <v>0</v>
      </c>
      <c r="G46" s="125">
        <f>C42+C43+C44+C45+(D42+D43+D44+D45)/(Budgetark!J6)</f>
        <v>0</v>
      </c>
      <c r="H46" s="135">
        <f>C38+C39+C40+(D38+D39+D40)/(Budgetark!J6)</f>
        <v>0</v>
      </c>
      <c r="I46" s="135">
        <f>C14+C24+C29+C34+C39+C44+C19+(D14+D24+D29+D34+D39+D44+D19)/(Budgetark!J6)</f>
        <v>0</v>
      </c>
      <c r="J46" s="135">
        <f>C12+(D12+D15+D17+D20+D22+D25+D27+D30+D32+D35+D37+D40+D42+D45)/(Budgetark!J6)+C15+C17+C20+C22+C25+C27+C30+C32+C35+C37+C40+C42+C45</f>
        <v>0</v>
      </c>
      <c r="K46" s="125"/>
      <c r="L46" s="125"/>
      <c r="M46" s="11"/>
      <c r="N46" s="128">
        <f>SUM(N12:N45)</f>
        <v>0</v>
      </c>
      <c r="O46" s="128">
        <f>SUM(O12:O45)</f>
        <v>0</v>
      </c>
      <c r="P46" s="128"/>
    </row>
    <row r="47" spans="1:16" x14ac:dyDescent="0.2">
      <c r="A47" s="136"/>
      <c r="B47" s="2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1"/>
      <c r="N47" s="124"/>
    </row>
    <row r="48" spans="1:16" x14ac:dyDescent="0.2">
      <c r="A48" s="39"/>
      <c r="B48" s="2"/>
      <c r="C48" s="125"/>
      <c r="D48" s="125"/>
      <c r="E48" s="125"/>
      <c r="F48" s="125" t="s">
        <v>29</v>
      </c>
      <c r="G48" s="125" t="s">
        <v>30</v>
      </c>
      <c r="H48" s="125"/>
      <c r="I48" s="125"/>
      <c r="J48" s="125"/>
      <c r="K48" s="125"/>
      <c r="L48" s="125"/>
      <c r="M48" s="11"/>
    </row>
    <row r="49" spans="1:21" x14ac:dyDescent="0.2">
      <c r="A49" s="137" t="s">
        <v>69</v>
      </c>
      <c r="B49" s="138"/>
      <c r="C49" s="139"/>
      <c r="D49" s="139"/>
      <c r="E49" s="80">
        <f>(C46+E46)/7+D46/(E6-C6+1)</f>
        <v>0</v>
      </c>
      <c r="F49" s="140">
        <v>10.5</v>
      </c>
      <c r="G49" s="109">
        <f>I8</f>
        <v>78.344999999999999</v>
      </c>
      <c r="H49" s="141"/>
      <c r="I49" s="110"/>
      <c r="J49" s="125"/>
      <c r="K49" s="142" t="s">
        <v>31</v>
      </c>
      <c r="L49" s="134"/>
      <c r="M49" s="83">
        <f>E49*F49*G49/(Budgetark!J7)</f>
        <v>0</v>
      </c>
      <c r="Q49" s="143"/>
    </row>
    <row r="50" spans="1:21" x14ac:dyDescent="0.2">
      <c r="A50" s="39"/>
      <c r="B50" s="2"/>
      <c r="C50" s="110"/>
      <c r="D50" s="110"/>
      <c r="E50" s="110" t="s">
        <v>32</v>
      </c>
      <c r="F50" s="144" t="s">
        <v>33</v>
      </c>
      <c r="G50" s="110"/>
      <c r="H50" s="110"/>
      <c r="I50" s="110"/>
      <c r="J50" s="110"/>
      <c r="K50" s="110"/>
      <c r="L50" s="110"/>
      <c r="M50" s="145"/>
      <c r="Q50" s="143"/>
    </row>
    <row r="51" spans="1:21" x14ac:dyDescent="0.2">
      <c r="A51" s="137" t="s">
        <v>88</v>
      </c>
      <c r="B51" s="138"/>
      <c r="C51" s="139"/>
      <c r="D51" s="139"/>
      <c r="E51" s="203">
        <f>+ROUNDUP(($F$46*52.1428571428571)/Forudsætninger!$F$84,0)</f>
        <v>0</v>
      </c>
      <c r="F51" s="204">
        <v>0</v>
      </c>
      <c r="G51" s="139">
        <f>+SUM(G8:H8)</f>
        <v>156.69</v>
      </c>
      <c r="H51" s="110"/>
      <c r="I51" s="110"/>
      <c r="J51" s="125"/>
      <c r="K51" s="142" t="s">
        <v>31</v>
      </c>
      <c r="L51" s="134"/>
      <c r="M51" s="146">
        <f>+(E51*F51*G51)/(Budgetark!J7)</f>
        <v>0</v>
      </c>
    </row>
    <row r="52" spans="1:21" x14ac:dyDescent="0.2">
      <c r="A52" s="39"/>
      <c r="B52" s="2"/>
      <c r="C52" s="110"/>
      <c r="D52" s="110"/>
      <c r="E52" s="110"/>
      <c r="F52" s="144"/>
      <c r="G52" s="147"/>
      <c r="H52" s="110"/>
      <c r="I52" s="110"/>
      <c r="J52" s="125"/>
      <c r="K52" s="125"/>
      <c r="L52" s="125"/>
      <c r="M52" s="88"/>
    </row>
    <row r="53" spans="1:21" x14ac:dyDescent="0.2">
      <c r="A53" s="137" t="s">
        <v>87</v>
      </c>
      <c r="B53" s="138"/>
      <c r="C53" s="139"/>
      <c r="D53" s="139"/>
      <c r="E53" s="203">
        <f>+ROUNDUP(E51*0.3,0)</f>
        <v>0</v>
      </c>
      <c r="F53" s="204">
        <v>0</v>
      </c>
      <c r="G53" s="310" t="e">
        <f>+SUM(M12:M45)/F46</f>
        <v>#DIV/0!</v>
      </c>
      <c r="H53" s="110"/>
      <c r="I53" s="110"/>
      <c r="J53" s="125"/>
      <c r="K53" s="142" t="s">
        <v>31</v>
      </c>
      <c r="L53" s="134"/>
      <c r="M53" s="146" t="e">
        <f>+E53*F53*G53/(Budgetark!J7)</f>
        <v>#DIV/0!</v>
      </c>
    </row>
    <row r="54" spans="1:21" x14ac:dyDescent="0.2">
      <c r="A54" s="39"/>
      <c r="B54" s="2"/>
      <c r="C54" s="110"/>
      <c r="D54" s="110"/>
      <c r="E54" s="110" t="s">
        <v>1</v>
      </c>
      <c r="F54" s="110" t="s">
        <v>283</v>
      </c>
      <c r="G54" s="147"/>
      <c r="H54" s="110"/>
      <c r="I54" s="110"/>
      <c r="J54" s="125"/>
      <c r="K54" s="125"/>
      <c r="L54" s="125"/>
      <c r="M54" s="88"/>
    </row>
    <row r="55" spans="1:21" x14ac:dyDescent="0.2">
      <c r="A55" s="137" t="s">
        <v>34</v>
      </c>
      <c r="B55" s="138"/>
      <c r="C55" s="139"/>
      <c r="D55" s="139"/>
      <c r="E55" s="203">
        <v>0</v>
      </c>
      <c r="F55" s="109">
        <f>(F46-E46/4)*Budgetark!J6+(E51*F51+E53*F53)*Budgetark!J6/Budgetark!J7</f>
        <v>0</v>
      </c>
      <c r="G55" s="148"/>
      <c r="H55" s="110"/>
      <c r="I55" s="110"/>
      <c r="J55" s="125"/>
      <c r="K55" s="142" t="s">
        <v>31</v>
      </c>
      <c r="L55" s="134"/>
      <c r="M55" s="88">
        <f>(E55*F55)/(Budgetark!J6)</f>
        <v>0</v>
      </c>
    </row>
    <row r="56" spans="1:21" x14ac:dyDescent="0.2">
      <c r="A56" s="39"/>
      <c r="B56" s="2"/>
      <c r="C56" s="110"/>
      <c r="D56" s="110"/>
      <c r="E56" s="110" t="s">
        <v>36</v>
      </c>
      <c r="F56" s="144"/>
      <c r="G56" s="110"/>
      <c r="H56" s="110"/>
      <c r="I56" s="110"/>
      <c r="J56" s="110"/>
      <c r="K56" s="110"/>
      <c r="L56" s="110"/>
      <c r="M56" s="149"/>
    </row>
    <row r="57" spans="1:21" x14ac:dyDescent="0.2">
      <c r="A57" s="137" t="s">
        <v>35</v>
      </c>
      <c r="B57" s="138"/>
      <c r="C57" s="139"/>
      <c r="D57" s="139"/>
      <c r="E57" s="150" t="e">
        <f>SUM(M12:M51)+((M61+M62+M63)/3)+M55+M53</f>
        <v>#DIV/0!</v>
      </c>
      <c r="F57" s="148">
        <f>+Forudsætninger!I47</f>
        <v>0.125</v>
      </c>
      <c r="G57" s="148"/>
      <c r="H57" s="110"/>
      <c r="I57" s="110"/>
      <c r="J57" s="125"/>
      <c r="K57" s="142" t="s">
        <v>31</v>
      </c>
      <c r="L57" s="134"/>
      <c r="M57" s="88" t="e">
        <f>E57*F57</f>
        <v>#DIV/0!</v>
      </c>
      <c r="P57" s="124"/>
    </row>
    <row r="58" spans="1:21" x14ac:dyDescent="0.2">
      <c r="A58" s="39"/>
      <c r="B58" s="2"/>
      <c r="C58" s="110"/>
      <c r="D58" s="110"/>
      <c r="E58" s="110" t="s">
        <v>36</v>
      </c>
      <c r="G58" s="147"/>
      <c r="H58" s="110"/>
      <c r="I58" s="110"/>
      <c r="J58" s="125"/>
      <c r="K58" s="125"/>
      <c r="L58" s="125"/>
      <c r="M58" s="88"/>
    </row>
    <row r="59" spans="1:21" x14ac:dyDescent="0.2">
      <c r="A59" s="137" t="s">
        <v>219</v>
      </c>
      <c r="B59" s="138"/>
      <c r="C59" s="139"/>
      <c r="D59" s="205" t="s">
        <v>280</v>
      </c>
      <c r="E59" s="150" t="e">
        <f>E57</f>
        <v>#DIV/0!</v>
      </c>
      <c r="F59" s="148">
        <f>+IF(D59="Ja",Forudsætninger!I48,0)</f>
        <v>0</v>
      </c>
      <c r="G59" s="148"/>
      <c r="H59" s="110"/>
      <c r="I59" s="110"/>
      <c r="J59" s="125"/>
      <c r="K59" s="142" t="s">
        <v>31</v>
      </c>
      <c r="L59" s="134"/>
      <c r="M59" s="88" t="e">
        <f>E59*F59</f>
        <v>#DIV/0!</v>
      </c>
      <c r="P59" s="151"/>
    </row>
    <row r="60" spans="1:21" x14ac:dyDescent="0.2">
      <c r="A60" s="39"/>
      <c r="B60" s="2"/>
      <c r="C60" s="110"/>
      <c r="D60" s="110"/>
      <c r="E60" s="110" t="s">
        <v>36</v>
      </c>
      <c r="F60" s="144" t="s">
        <v>38</v>
      </c>
      <c r="G60" s="110"/>
      <c r="H60" s="110"/>
      <c r="I60" s="110"/>
      <c r="J60" s="125"/>
      <c r="K60" s="125"/>
      <c r="L60" s="125"/>
      <c r="M60" s="88"/>
    </row>
    <row r="61" spans="1:21" x14ac:dyDescent="0.2">
      <c r="A61" s="137" t="s">
        <v>227</v>
      </c>
      <c r="B61" s="138"/>
      <c r="C61" s="139"/>
      <c r="D61" s="216" t="s">
        <v>228</v>
      </c>
      <c r="E61" s="152">
        <f>(F55/Budgetark!J6)*G8</f>
        <v>0</v>
      </c>
      <c r="F61" s="148">
        <f>+IF(D61="Forhøjet pensionssats",Forudsætninger!I51,Forudsætninger!B51)</f>
        <v>0.14000000000000001</v>
      </c>
      <c r="G61" s="109"/>
      <c r="H61" s="110"/>
      <c r="I61" s="110"/>
      <c r="J61" s="125"/>
      <c r="K61" s="142" t="s">
        <v>31</v>
      </c>
      <c r="L61" s="134"/>
      <c r="M61" s="146">
        <f>E61*F61</f>
        <v>0</v>
      </c>
      <c r="P61" s="151"/>
    </row>
    <row r="62" spans="1:21" x14ac:dyDescent="0.2">
      <c r="A62" s="137" t="s">
        <v>40</v>
      </c>
      <c r="B62" s="138"/>
      <c r="C62" s="139"/>
      <c r="D62" s="139"/>
      <c r="E62" s="152">
        <f>I46*K8+J46*L8</f>
        <v>0</v>
      </c>
      <c r="F62" s="148">
        <f>+Forudsætninger!I52</f>
        <v>8.1500000000000003E-2</v>
      </c>
      <c r="G62" s="109"/>
      <c r="H62" s="110"/>
      <c r="I62" s="110"/>
      <c r="J62" s="125"/>
      <c r="K62" s="142" t="s">
        <v>31</v>
      </c>
      <c r="L62" s="134"/>
      <c r="M62" s="146">
        <f>E62*F62</f>
        <v>0</v>
      </c>
      <c r="N62" s="153"/>
      <c r="P62" s="153"/>
      <c r="Q62" s="153"/>
      <c r="R62" s="153"/>
      <c r="S62" s="153"/>
      <c r="T62" s="153"/>
      <c r="U62" s="153"/>
    </row>
    <row r="63" spans="1:21" x14ac:dyDescent="0.2">
      <c r="A63" s="137" t="s">
        <v>94</v>
      </c>
      <c r="B63" s="138"/>
      <c r="C63" s="139"/>
      <c r="D63" s="139"/>
      <c r="E63" s="152">
        <f>+G46*I8+H46*J8+M49</f>
        <v>0</v>
      </c>
      <c r="F63" s="148">
        <f>+Forudsætninger!I53</f>
        <v>8.1500000000000003E-2</v>
      </c>
      <c r="G63" s="109"/>
      <c r="H63" s="110"/>
      <c r="I63" s="110"/>
      <c r="J63" s="125"/>
      <c r="K63" s="142" t="s">
        <v>31</v>
      </c>
      <c r="L63" s="134"/>
      <c r="M63" s="146">
        <f>E63*F63</f>
        <v>0</v>
      </c>
      <c r="N63" s="153"/>
      <c r="P63" s="153"/>
      <c r="Q63" s="153"/>
      <c r="R63" s="153"/>
      <c r="S63" s="153"/>
      <c r="T63" s="153"/>
      <c r="U63" s="153"/>
    </row>
    <row r="64" spans="1:21" x14ac:dyDescent="0.2">
      <c r="A64" s="154"/>
      <c r="B64" s="133"/>
      <c r="C64" s="155"/>
      <c r="D64" s="155"/>
      <c r="E64" s="110" t="s">
        <v>2</v>
      </c>
      <c r="F64" s="110" t="s">
        <v>78</v>
      </c>
      <c r="G64" s="125" t="s">
        <v>46</v>
      </c>
      <c r="K64" s="125"/>
      <c r="L64" s="125"/>
      <c r="M64" s="156"/>
    </row>
    <row r="65" spans="1:17" x14ac:dyDescent="0.2">
      <c r="A65" s="137" t="s">
        <v>198</v>
      </c>
      <c r="B65" s="157"/>
      <c r="C65" s="158"/>
      <c r="D65" s="158"/>
      <c r="E65" s="159">
        <f>(F46*Budgetark!J7+$E$51*$F$51+$E$53*$F$53)/Forudsætninger!$F$84*Forudsætninger!$F$80/(Budgetark!J7)</f>
        <v>0</v>
      </c>
      <c r="F65" s="159">
        <f>(F46*Budgetark!J7+$E$51*$F$51+$E$53*$F$53)/Forudsætninger!$F$84*(Forudsætninger!$F$82+Forudsætninger!$F$83)/(Budgetark!J7)</f>
        <v>0</v>
      </c>
      <c r="G65" s="211">
        <f>(F46*Budgetark!J7+$E$51*$F$51+$E$53*$F$53)/Forudsætninger!$F$84*Forudsætninger!$F$81/(Budgetark!J7)</f>
        <v>0</v>
      </c>
      <c r="K65" s="142" t="s">
        <v>31</v>
      </c>
      <c r="L65" s="134"/>
      <c r="M65" s="83">
        <f>E65+F65+G65</f>
        <v>0</v>
      </c>
    </row>
    <row r="66" spans="1:17" x14ac:dyDescent="0.2">
      <c r="A66" s="136"/>
      <c r="B66" s="2"/>
      <c r="C66" s="110"/>
      <c r="D66" s="110"/>
      <c r="E66" s="110" t="s">
        <v>153</v>
      </c>
      <c r="F66" s="110" t="s">
        <v>261</v>
      </c>
      <c r="G66" s="147"/>
      <c r="H66" s="162"/>
      <c r="I66" s="162"/>
      <c r="J66" s="162"/>
      <c r="K66" s="125"/>
      <c r="L66" s="125"/>
      <c r="M66" s="88"/>
    </row>
    <row r="67" spans="1:17" x14ac:dyDescent="0.2">
      <c r="A67" s="163" t="s">
        <v>265</v>
      </c>
      <c r="B67" s="138"/>
      <c r="C67" s="139"/>
      <c r="D67" s="109"/>
      <c r="E67" s="80">
        <f>Forudsætninger!D97</f>
        <v>20</v>
      </c>
      <c r="F67" s="203">
        <f>+ROUNDUP(($F$46*52.1428571428571)/Forudsætninger!$F$84,0)</f>
        <v>0</v>
      </c>
      <c r="G67" s="148"/>
      <c r="H67" s="162"/>
      <c r="I67" s="162"/>
      <c r="J67" s="162"/>
      <c r="K67" s="142" t="s">
        <v>31</v>
      </c>
      <c r="L67" s="134"/>
      <c r="M67" s="83">
        <f>E67*F67/(Budgetark!J7)</f>
        <v>0</v>
      </c>
    </row>
    <row r="68" spans="1:17" x14ac:dyDescent="0.2">
      <c r="A68" s="39"/>
      <c r="B68" s="2"/>
      <c r="C68" s="110"/>
      <c r="D68" s="110"/>
      <c r="E68" s="110"/>
      <c r="F68" s="144"/>
      <c r="G68" s="110" t="s">
        <v>80</v>
      </c>
      <c r="H68" s="110"/>
      <c r="I68" s="110"/>
      <c r="J68" s="110"/>
      <c r="K68" s="110"/>
      <c r="L68" s="110"/>
      <c r="M68" s="11"/>
    </row>
    <row r="69" spans="1:17" x14ac:dyDescent="0.2">
      <c r="A69" s="163" t="s">
        <v>200</v>
      </c>
      <c r="B69" s="166"/>
      <c r="C69" s="167"/>
      <c r="D69" s="167"/>
      <c r="E69" s="212"/>
      <c r="F69" s="184"/>
      <c r="G69" s="139">
        <f>+Forudsætninger!I63/100</f>
        <v>1.0170000000000001</v>
      </c>
      <c r="H69" s="177"/>
      <c r="I69" s="177"/>
      <c r="J69" s="177"/>
      <c r="K69" s="142" t="s">
        <v>31</v>
      </c>
      <c r="L69" s="134"/>
      <c r="M69" s="83">
        <f>($F$46+($E$51*$F$51+$E$53*$F$53)/Budgetark!$J$7)*G69</f>
        <v>0</v>
      </c>
    </row>
    <row r="70" spans="1:17" ht="22.65" customHeight="1" x14ac:dyDescent="0.2">
      <c r="A70" s="39"/>
      <c r="B70" s="2"/>
      <c r="C70" s="110"/>
      <c r="D70" s="110"/>
      <c r="E70" s="125" t="s">
        <v>153</v>
      </c>
      <c r="F70" s="164" t="s">
        <v>155</v>
      </c>
      <c r="G70" s="165" t="s">
        <v>154</v>
      </c>
      <c r="H70" s="110"/>
      <c r="I70" s="110"/>
      <c r="J70" s="110"/>
      <c r="K70" s="110"/>
      <c r="L70" s="110"/>
      <c r="M70" s="11"/>
    </row>
    <row r="71" spans="1:17" x14ac:dyDescent="0.2">
      <c r="A71" s="163" t="s">
        <v>262</v>
      </c>
      <c r="B71" s="166"/>
      <c r="C71" s="167"/>
      <c r="D71" s="139"/>
      <c r="E71" s="80">
        <f>Forudsætninger!D64*G8</f>
        <v>78.344999999999999</v>
      </c>
      <c r="F71" s="203">
        <v>0</v>
      </c>
      <c r="G71" s="206">
        <v>0</v>
      </c>
      <c r="H71" s="168"/>
      <c r="I71" s="168"/>
      <c r="J71" s="168"/>
      <c r="K71" s="142" t="s">
        <v>31</v>
      </c>
      <c r="L71" s="169"/>
      <c r="M71" s="83">
        <f>+E71*F71*G71/(Budgetark!J6)</f>
        <v>0</v>
      </c>
    </row>
    <row r="72" spans="1:17" x14ac:dyDescent="0.2">
      <c r="A72" s="39"/>
      <c r="B72" s="2"/>
      <c r="C72" s="110"/>
      <c r="D72" s="110"/>
      <c r="E72" s="125" t="s">
        <v>153</v>
      </c>
      <c r="F72" s="144"/>
      <c r="G72" s="165"/>
      <c r="H72" s="110"/>
      <c r="I72" s="110"/>
      <c r="J72" s="110"/>
      <c r="K72" s="110"/>
      <c r="L72" s="110"/>
      <c r="M72" s="11"/>
    </row>
    <row r="73" spans="1:17" x14ac:dyDescent="0.2">
      <c r="A73" s="163" t="s">
        <v>263</v>
      </c>
      <c r="B73" s="166"/>
      <c r="C73" s="167"/>
      <c r="D73" s="139"/>
      <c r="E73" s="80">
        <f>+Forudsætninger!K68</f>
        <v>452.48</v>
      </c>
      <c r="F73" s="109"/>
      <c r="G73" s="206">
        <v>0</v>
      </c>
      <c r="H73" s="168"/>
      <c r="I73" s="168"/>
      <c r="J73" s="168"/>
      <c r="K73" s="142" t="s">
        <v>31</v>
      </c>
      <c r="L73" s="169"/>
      <c r="M73" s="83">
        <f>+E73*G73/(Budgetark!J6)</f>
        <v>0</v>
      </c>
    </row>
    <row r="74" spans="1:17" x14ac:dyDescent="0.2">
      <c r="A74" s="39"/>
      <c r="B74" s="2"/>
      <c r="C74" s="110"/>
      <c r="D74" s="110"/>
      <c r="E74" s="125" t="s">
        <v>153</v>
      </c>
      <c r="F74" s="144" t="s">
        <v>218</v>
      </c>
      <c r="G74" s="165" t="s">
        <v>157</v>
      </c>
      <c r="H74" s="110"/>
      <c r="I74" s="110"/>
      <c r="J74" s="110"/>
      <c r="K74" s="110"/>
      <c r="L74" s="110"/>
      <c r="M74" s="11"/>
    </row>
    <row r="75" spans="1:17" x14ac:dyDescent="0.2">
      <c r="A75" s="163" t="s">
        <v>264</v>
      </c>
      <c r="B75" s="166"/>
      <c r="C75" s="167"/>
      <c r="D75" s="139"/>
      <c r="E75" s="80">
        <f>+G8*Forudsætninger!D72</f>
        <v>78.344999999999999</v>
      </c>
      <c r="F75" s="203">
        <v>0</v>
      </c>
      <c r="G75" s="206">
        <v>0</v>
      </c>
      <c r="H75" s="168"/>
      <c r="I75" s="168"/>
      <c r="J75" s="168"/>
      <c r="K75" s="142" t="s">
        <v>31</v>
      </c>
      <c r="L75" s="169"/>
      <c r="M75" s="83">
        <f>+E75*F75*G75/(Budgetark!J6)</f>
        <v>0</v>
      </c>
    </row>
    <row r="76" spans="1:17" ht="13.2" thickBot="1" x14ac:dyDescent="0.25">
      <c r="A76" s="39"/>
      <c r="B76" s="2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1"/>
    </row>
    <row r="77" spans="1:17" ht="14.25" customHeight="1" thickBot="1" x14ac:dyDescent="0.25">
      <c r="A77" s="171" t="s">
        <v>43</v>
      </c>
      <c r="B77" s="172"/>
      <c r="C77" s="172"/>
      <c r="D77" s="172"/>
      <c r="E77" s="172"/>
      <c r="F77" s="172"/>
      <c r="G77" s="172"/>
      <c r="H77" s="172"/>
      <c r="I77" s="172"/>
      <c r="J77" s="172"/>
      <c r="K77" s="172"/>
      <c r="L77" s="172"/>
      <c r="M77" s="173" t="e">
        <f>SUM(M12:M76)</f>
        <v>#DIV/0!</v>
      </c>
    </row>
    <row r="79" spans="1:17" x14ac:dyDescent="0.2">
      <c r="A79" s="2" t="s">
        <v>44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74" t="e">
        <f>M77*Budgetark!J6</f>
        <v>#DIV/0!</v>
      </c>
    </row>
    <row r="80" spans="1:17" x14ac:dyDescent="0.2">
      <c r="A80" s="175" t="s">
        <v>45</v>
      </c>
      <c r="B80" s="175"/>
      <c r="C80" s="360" t="s">
        <v>422</v>
      </c>
      <c r="D80" s="361"/>
      <c r="E80" s="207"/>
      <c r="F80" s="175"/>
      <c r="G80" s="175"/>
      <c r="H80" s="175"/>
      <c r="I80" s="175"/>
      <c r="J80" s="175"/>
      <c r="K80" s="175"/>
      <c r="L80" s="175"/>
      <c r="M80" s="176" t="e">
        <f>M79*(1+IF(E80&gt;0,E80,IF(AND(F8=13,Forudsætninger!F90*100&gt;VLOOKUP(YEAR(C6),Tabel1[],2,FALSE)),Forudsætninger!F90,(VLOOKUP(YEAR(C6),Tabel1[],2,FALSE))/100)))</f>
        <v>#DIV/0!</v>
      </c>
      <c r="P80" s="290"/>
      <c r="Q80" s="286"/>
    </row>
    <row r="81" spans="1:14" x14ac:dyDescent="0.2">
      <c r="A81" s="2" t="s">
        <v>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74" t="e">
        <f>M79/(Budgetark!J6/(Budgetark!J7/12))</f>
        <v>#DIV/0!</v>
      </c>
    </row>
    <row r="82" spans="1:14" x14ac:dyDescent="0.2">
      <c r="A82" s="175" t="s">
        <v>63</v>
      </c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6" t="e">
        <f>M80/(Budgetark!J6/(Budgetark!J7/12))</f>
        <v>#DIV/0!</v>
      </c>
      <c r="N82" s="128"/>
    </row>
    <row r="83" spans="1:14" x14ac:dyDescent="0.2">
      <c r="A83" s="2" t="s">
        <v>48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77" t="e">
        <f>M79/(Budgetark!$J$16-Budgetark!$J$15)</f>
        <v>#DIV/0!</v>
      </c>
      <c r="N83" s="128"/>
    </row>
    <row r="84" spans="1:14" x14ac:dyDescent="0.2">
      <c r="A84" s="175" t="s">
        <v>65</v>
      </c>
      <c r="B84" s="178"/>
      <c r="C84" s="178"/>
      <c r="D84" s="178"/>
      <c r="E84" s="178"/>
      <c r="F84" s="178"/>
      <c r="G84" s="178"/>
      <c r="H84" s="178"/>
      <c r="I84" s="179"/>
      <c r="J84" s="178"/>
      <c r="K84" s="178"/>
      <c r="L84" s="178"/>
      <c r="M84" s="300" t="e">
        <f>M80/(Budgetark!$J$16-Budgetark!$J$15)</f>
        <v>#DIV/0!</v>
      </c>
    </row>
    <row r="85" spans="1:14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180"/>
      <c r="N85" s="128"/>
    </row>
    <row r="86" spans="1:14" x14ac:dyDescent="0.2">
      <c r="A86" s="2" t="s">
        <v>260</v>
      </c>
      <c r="B86" s="2"/>
      <c r="C86" s="2"/>
      <c r="D86" s="2"/>
      <c r="E86" s="181">
        <f>Administration!D9</f>
        <v>0</v>
      </c>
      <c r="F86" s="2"/>
      <c r="G86" s="2"/>
      <c r="H86" s="2"/>
      <c r="I86" s="2"/>
      <c r="J86" s="2"/>
      <c r="K86" s="2"/>
      <c r="L86" s="2"/>
      <c r="M86" s="180" t="e">
        <f>+M80*E86</f>
        <v>#DIV/0!</v>
      </c>
      <c r="N86" s="128"/>
    </row>
    <row r="87" spans="1:14" x14ac:dyDescent="0.2">
      <c r="A87" s="175" t="s">
        <v>145</v>
      </c>
      <c r="B87" s="178"/>
      <c r="C87" s="178"/>
      <c r="D87" s="178"/>
      <c r="E87" s="178"/>
      <c r="F87" s="178"/>
      <c r="G87" s="178"/>
      <c r="H87" s="178"/>
      <c r="I87" s="179"/>
      <c r="J87" s="178"/>
      <c r="K87" s="178"/>
      <c r="L87" s="178"/>
      <c r="M87" s="182" t="e">
        <f>+M86/(Budgetark!J6/(Budgetark!J7/12))</f>
        <v>#DIV/0!</v>
      </c>
    </row>
    <row r="88" spans="1:14" x14ac:dyDescent="0.2">
      <c r="A88" s="2"/>
      <c r="I88" s="128"/>
      <c r="M88" s="183"/>
    </row>
    <row r="89" spans="1:14" x14ac:dyDescent="0.2">
      <c r="A89" s="3" t="s">
        <v>458</v>
      </c>
      <c r="D89" s="24" t="s">
        <v>411</v>
      </c>
      <c r="F89" s="24"/>
      <c r="G89" s="110" t="s">
        <v>80</v>
      </c>
    </row>
    <row r="90" spans="1:14" x14ac:dyDescent="0.2">
      <c r="A90" s="137" t="s">
        <v>106</v>
      </c>
      <c r="B90" s="138"/>
      <c r="C90" s="139"/>
      <c r="D90" s="203" t="s">
        <v>413</v>
      </c>
      <c r="E90" s="80">
        <f>F46*Budgetark!J6+($E$51*$F$51+$E$53*$F$53+$E$94*$F$94)*Budgetark!J6/Budgetark!J7</f>
        <v>0</v>
      </c>
      <c r="F90" s="170"/>
      <c r="G90" s="170">
        <f>+Forudsætninger!E94</f>
        <v>1.566951566951567</v>
      </c>
      <c r="H90" s="110"/>
      <c r="I90" s="110"/>
      <c r="J90" s="125"/>
      <c r="K90" s="142" t="s">
        <v>82</v>
      </c>
      <c r="L90" s="134"/>
      <c r="M90" s="83">
        <f>IF(D90="Nej",0,E90*G90)</f>
        <v>0</v>
      </c>
    </row>
    <row r="91" spans="1:14" x14ac:dyDescent="0.2">
      <c r="A91" s="39"/>
      <c r="B91" s="2"/>
      <c r="C91" s="110"/>
      <c r="D91" s="144"/>
      <c r="E91" s="110"/>
      <c r="F91" s="144"/>
      <c r="G91" s="110" t="str">
        <f>+IF(Forudsætninger!$D$108=0,"kr/time","kr/år")</f>
        <v>kr/time</v>
      </c>
      <c r="H91" s="110"/>
      <c r="I91" s="110"/>
      <c r="J91" s="110"/>
      <c r="K91" s="110"/>
      <c r="L91" s="110"/>
      <c r="M91" s="11"/>
    </row>
    <row r="92" spans="1:14" x14ac:dyDescent="0.2">
      <c r="A92" s="163" t="s">
        <v>81</v>
      </c>
      <c r="B92" s="166"/>
      <c r="C92" s="167"/>
      <c r="D92" s="203" t="s">
        <v>413</v>
      </c>
      <c r="E92" s="80">
        <f>IF(Forudsætninger!E108&gt;0,E90,)</f>
        <v>0</v>
      </c>
      <c r="F92" s="170"/>
      <c r="G92" s="213">
        <f>+IF(Forudsætninger!D108&gt;0,Forudsætninger!D108,Forudsætninger!E108)</f>
        <v>0</v>
      </c>
      <c r="H92" s="168"/>
      <c r="I92" s="168"/>
      <c r="J92" s="168"/>
      <c r="K92" s="142" t="s">
        <v>82</v>
      </c>
      <c r="L92" s="169"/>
      <c r="M92" s="83">
        <f>IF(D92="Nej",0,IF(Forudsætninger!D108&gt;0,Forudsætninger!D108,E92*G92))</f>
        <v>0</v>
      </c>
    </row>
    <row r="93" spans="1:14" x14ac:dyDescent="0.2">
      <c r="A93" s="39"/>
      <c r="B93" s="2"/>
      <c r="C93" s="110"/>
      <c r="D93" s="110"/>
      <c r="E93" s="110" t="s">
        <v>32</v>
      </c>
      <c r="F93" s="144" t="s">
        <v>33</v>
      </c>
      <c r="G93" s="110"/>
      <c r="H93" s="110"/>
      <c r="I93" s="110"/>
      <c r="J93" s="110"/>
      <c r="K93" s="110"/>
      <c r="L93" s="110"/>
      <c r="M93" s="11"/>
    </row>
    <row r="94" spans="1:14" x14ac:dyDescent="0.2">
      <c r="A94" s="163" t="s">
        <v>229</v>
      </c>
      <c r="B94" s="166"/>
      <c r="C94" s="167"/>
      <c r="D94" s="139"/>
      <c r="E94" s="80">
        <f>+E51</f>
        <v>0</v>
      </c>
      <c r="F94" s="203">
        <v>0</v>
      </c>
      <c r="G94" s="109">
        <f>+G8*(1+Forudsætninger!B47)+G8*Forudsætninger!B51+G69+SUM(Forudsætninger!F80:F83)/Forudsætninger!F84</f>
        <v>203.42429444444446</v>
      </c>
      <c r="H94" s="168"/>
      <c r="I94" s="168"/>
      <c r="J94" s="168"/>
      <c r="K94" s="142" t="s">
        <v>82</v>
      </c>
      <c r="L94" s="169"/>
      <c r="M94" s="83">
        <f>+E94*F94*G94</f>
        <v>0</v>
      </c>
    </row>
    <row r="95" spans="1:14" x14ac:dyDescent="0.2">
      <c r="A95" s="39"/>
      <c r="B95" s="2"/>
      <c r="C95" s="110"/>
      <c r="D95" s="110"/>
      <c r="E95" s="125" t="s">
        <v>295</v>
      </c>
      <c r="F95" s="164"/>
      <c r="G95" s="164" t="s">
        <v>32</v>
      </c>
      <c r="H95" s="110"/>
      <c r="I95" s="110"/>
      <c r="J95" s="110"/>
      <c r="K95" s="110"/>
      <c r="L95" s="110"/>
      <c r="M95" s="11"/>
    </row>
    <row r="96" spans="1:14" ht="26.25" customHeight="1" x14ac:dyDescent="0.2">
      <c r="A96" s="352" t="s">
        <v>301</v>
      </c>
      <c r="B96" s="353"/>
      <c r="C96" s="354"/>
      <c r="D96" s="265" t="s">
        <v>280</v>
      </c>
      <c r="E96" s="80">
        <f>+VLOOKUP(YEAR(C6),Tabel1[],3)</f>
        <v>2372.0629965135508</v>
      </c>
      <c r="F96" s="265" t="s">
        <v>280</v>
      </c>
      <c r="G96" s="109">
        <f>IF(F96="Årlige ansatte",Administration!F27,IF(F96="Faktiske ansatte",E51,))</f>
        <v>0</v>
      </c>
      <c r="H96" s="168"/>
      <c r="I96" s="168"/>
      <c r="J96" s="168"/>
      <c r="K96" s="142" t="s">
        <v>82</v>
      </c>
      <c r="L96" s="169"/>
      <c r="M96" s="83">
        <f>IF(D96="Overhead",+E96*G96*Budgetark!G6/Budgetark!G7,0)</f>
        <v>0</v>
      </c>
    </row>
    <row r="97" spans="1:13" ht="13.2" thickBot="1" x14ac:dyDescent="0.25">
      <c r="A97" s="39"/>
      <c r="B97" s="2"/>
      <c r="C97" s="110"/>
      <c r="D97" s="110"/>
      <c r="E97" s="110"/>
      <c r="F97" s="144"/>
      <c r="G97" s="110"/>
      <c r="H97" s="110"/>
      <c r="I97" s="110"/>
      <c r="J97" s="110"/>
      <c r="K97" s="110"/>
      <c r="L97" s="110"/>
      <c r="M97" s="11"/>
    </row>
    <row r="98" spans="1:13" ht="13.2" thickBot="1" x14ac:dyDescent="0.25">
      <c r="A98" s="171" t="s">
        <v>146</v>
      </c>
      <c r="B98" s="172"/>
      <c r="C98" s="172"/>
      <c r="D98" s="172"/>
      <c r="E98" s="172"/>
      <c r="F98" s="172"/>
      <c r="G98" s="172"/>
      <c r="H98" s="172"/>
      <c r="I98" s="172"/>
      <c r="J98" s="172"/>
      <c r="K98" s="172"/>
      <c r="L98" s="172"/>
      <c r="M98" s="173">
        <f>+SUM(M90:M96)</f>
        <v>0</v>
      </c>
    </row>
    <row r="99" spans="1:13" x14ac:dyDescent="0.2">
      <c r="A99" s="39"/>
      <c r="B99" s="2"/>
      <c r="C99" s="110"/>
      <c r="D99" s="110"/>
      <c r="E99" s="110"/>
      <c r="F99" s="144"/>
      <c r="G99" s="110"/>
      <c r="H99" s="110"/>
      <c r="I99" s="110"/>
      <c r="J99" s="110"/>
      <c r="K99" s="110"/>
      <c r="L99" s="110"/>
      <c r="M99" s="2"/>
    </row>
    <row r="100" spans="1:13" x14ac:dyDescent="0.2">
      <c r="A100" s="2" t="s">
        <v>147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85" t="e">
        <f>+(M80+M98-M96)/(Budgetark!J6*7/(Budgetark!J7*7/12))</f>
        <v>#DIV/0!</v>
      </c>
    </row>
    <row r="101" spans="1:13" s="103" customFormat="1" x14ac:dyDescent="0.2">
      <c r="A101" s="186" t="s">
        <v>148</v>
      </c>
      <c r="B101" s="186"/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M101" s="187" t="e">
        <f>+M87+M96/(Budgetark!J6/(Budgetark!J7/12))</f>
        <v>#DIV/0!</v>
      </c>
    </row>
    <row r="102" spans="1:13" x14ac:dyDescent="0.2">
      <c r="A102" s="39"/>
      <c r="B102" s="2"/>
      <c r="C102" s="110"/>
      <c r="D102" s="110"/>
      <c r="E102" s="110"/>
      <c r="F102" s="144"/>
      <c r="G102" s="110"/>
      <c r="H102" s="110"/>
      <c r="I102" s="110"/>
      <c r="J102" s="110"/>
      <c r="K102" s="110"/>
      <c r="L102" s="110"/>
      <c r="M102" s="2"/>
    </row>
    <row r="103" spans="1:13" x14ac:dyDescent="0.2">
      <c r="A103" s="3" t="s">
        <v>79</v>
      </c>
      <c r="G103" s="110"/>
    </row>
    <row r="104" spans="1:13" ht="13.65" customHeight="1" x14ac:dyDescent="0.2">
      <c r="A104" s="39"/>
      <c r="B104" s="2"/>
      <c r="C104" s="110"/>
      <c r="D104" s="110"/>
      <c r="E104" s="110" t="s">
        <v>91</v>
      </c>
      <c r="F104" s="144"/>
      <c r="G104" s="110"/>
      <c r="H104" s="110"/>
      <c r="I104" s="110"/>
      <c r="J104" s="110"/>
      <c r="K104" s="110"/>
      <c r="L104" s="110"/>
      <c r="M104" s="2"/>
    </row>
    <row r="105" spans="1:13" x14ac:dyDescent="0.2">
      <c r="A105" s="163" t="s">
        <v>90</v>
      </c>
      <c r="B105" s="166"/>
      <c r="C105" s="167"/>
      <c r="D105" s="167"/>
      <c r="E105" s="207">
        <v>0</v>
      </c>
      <c r="F105" s="184"/>
      <c r="G105" s="214"/>
      <c r="H105" s="168"/>
      <c r="I105" s="168"/>
      <c r="J105" s="168"/>
      <c r="K105" s="142" t="s">
        <v>82</v>
      </c>
      <c r="L105" s="169"/>
      <c r="M105" s="83" t="e">
        <f>+M80*E105</f>
        <v>#DIV/0!</v>
      </c>
    </row>
    <row r="106" spans="1:13" x14ac:dyDescent="0.2">
      <c r="A106" s="39"/>
      <c r="B106" s="2"/>
      <c r="C106" s="110"/>
      <c r="D106" s="110"/>
      <c r="E106" s="110" t="s">
        <v>224</v>
      </c>
      <c r="F106" s="144"/>
      <c r="G106" s="110"/>
      <c r="H106" s="110"/>
      <c r="I106" s="110"/>
      <c r="J106" s="110"/>
      <c r="K106" s="110"/>
      <c r="L106" s="110"/>
      <c r="M106" s="11"/>
    </row>
    <row r="107" spans="1:13" x14ac:dyDescent="0.2">
      <c r="A107" s="163" t="s">
        <v>95</v>
      </c>
      <c r="B107" s="166"/>
      <c r="C107" s="167"/>
      <c r="D107" s="167"/>
      <c r="E107" s="207">
        <v>0</v>
      </c>
      <c r="F107" s="184"/>
      <c r="G107" s="170"/>
      <c r="H107" s="168"/>
      <c r="I107" s="168"/>
      <c r="J107" s="168"/>
      <c r="K107" s="142" t="s">
        <v>82</v>
      </c>
      <c r="L107" s="169"/>
      <c r="M107" s="83" t="e">
        <f>+M80*E107</f>
        <v>#DIV/0!</v>
      </c>
    </row>
    <row r="108" spans="1:13" x14ac:dyDescent="0.2">
      <c r="A108" s="39"/>
      <c r="B108" s="2"/>
      <c r="C108" s="110"/>
      <c r="D108" s="110"/>
      <c r="E108" s="125" t="s">
        <v>460</v>
      </c>
      <c r="F108" s="164" t="s">
        <v>61</v>
      </c>
      <c r="G108" s="110"/>
      <c r="H108" s="110"/>
      <c r="I108" s="110"/>
      <c r="J108" s="110"/>
      <c r="K108" s="110"/>
      <c r="L108" s="110"/>
      <c r="M108" s="11"/>
    </row>
    <row r="109" spans="1:13" x14ac:dyDescent="0.2">
      <c r="A109" s="163" t="s">
        <v>112</v>
      </c>
      <c r="B109" s="166"/>
      <c r="C109" s="167"/>
      <c r="D109" s="139"/>
      <c r="E109" s="203">
        <v>0</v>
      </c>
      <c r="F109" s="170">
        <f>+Budgetark!J16</f>
        <v>0</v>
      </c>
      <c r="G109" s="170"/>
      <c r="H109" s="168"/>
      <c r="I109" s="168"/>
      <c r="J109" s="168"/>
      <c r="K109" s="142" t="s">
        <v>82</v>
      </c>
      <c r="L109" s="169"/>
      <c r="M109" s="83">
        <f>+E109*F109</f>
        <v>0</v>
      </c>
    </row>
    <row r="110" spans="1:13" x14ac:dyDescent="0.2">
      <c r="A110" s="39"/>
      <c r="B110" s="2"/>
      <c r="C110" s="110"/>
      <c r="D110" s="144" t="s">
        <v>275</v>
      </c>
      <c r="E110" s="125" t="s">
        <v>415</v>
      </c>
      <c r="F110" s="144"/>
      <c r="G110" s="110"/>
      <c r="H110" s="110"/>
      <c r="I110" s="110"/>
      <c r="J110" s="110"/>
      <c r="K110" s="110"/>
      <c r="L110" s="110"/>
      <c r="M110" s="11"/>
    </row>
    <row r="111" spans="1:13" x14ac:dyDescent="0.2">
      <c r="A111" s="163" t="s">
        <v>225</v>
      </c>
      <c r="B111" s="166"/>
      <c r="C111" s="167"/>
      <c r="D111" s="203" t="s">
        <v>280</v>
      </c>
      <c r="E111" s="80">
        <f>+Forudsætninger!D103</f>
        <v>0</v>
      </c>
      <c r="F111" s="170"/>
      <c r="G111" s="170"/>
      <c r="H111" s="168"/>
      <c r="I111" s="168"/>
      <c r="J111" s="168"/>
      <c r="K111" s="142" t="s">
        <v>82</v>
      </c>
      <c r="L111" s="169"/>
      <c r="M111" s="83">
        <f>+IF(D111="Ja",E111,0)</f>
        <v>0</v>
      </c>
    </row>
    <row r="112" spans="1:13" x14ac:dyDescent="0.2">
      <c r="A112" s="39"/>
      <c r="B112" s="2"/>
      <c r="C112" s="110"/>
      <c r="D112" s="110"/>
      <c r="E112" s="144" t="s">
        <v>179</v>
      </c>
      <c r="F112" s="144" t="s">
        <v>119</v>
      </c>
      <c r="G112" s="110"/>
      <c r="H112" s="110"/>
      <c r="I112" s="110"/>
      <c r="J112" s="110"/>
      <c r="K112" s="110"/>
      <c r="L112" s="110"/>
      <c r="M112" s="11"/>
    </row>
    <row r="113" spans="1:13" x14ac:dyDescent="0.2">
      <c r="A113" s="163" t="s">
        <v>120</v>
      </c>
      <c r="B113" s="166"/>
      <c r="C113" s="167"/>
      <c r="D113" s="139"/>
      <c r="E113" s="80">
        <f>+Forudsætninger!D104</f>
        <v>0</v>
      </c>
      <c r="F113" s="203">
        <v>0</v>
      </c>
      <c r="G113" s="170"/>
      <c r="H113" s="168"/>
      <c r="I113" s="168"/>
      <c r="J113" s="168"/>
      <c r="K113" s="142" t="s">
        <v>82</v>
      </c>
      <c r="L113" s="169"/>
      <c r="M113" s="83">
        <f>+IF($D$111="Ja",E113*F113,0)</f>
        <v>0</v>
      </c>
    </row>
    <row r="114" spans="1:13" x14ac:dyDescent="0.2">
      <c r="A114" s="39"/>
      <c r="B114" s="2"/>
      <c r="C114" s="110"/>
      <c r="D114" s="110"/>
      <c r="E114" s="125" t="s">
        <v>116</v>
      </c>
      <c r="F114" s="144" t="s">
        <v>117</v>
      </c>
      <c r="G114" s="110"/>
      <c r="H114" s="110"/>
      <c r="I114" s="110"/>
      <c r="J114" s="110"/>
      <c r="K114" s="110"/>
      <c r="L114" s="110"/>
      <c r="M114" s="11"/>
    </row>
    <row r="115" spans="1:13" x14ac:dyDescent="0.2">
      <c r="A115" s="163" t="s">
        <v>118</v>
      </c>
      <c r="B115" s="166"/>
      <c r="C115" s="167"/>
      <c r="D115" s="139"/>
      <c r="E115" s="80">
        <f>+Forudsætninger!D105</f>
        <v>3.94</v>
      </c>
      <c r="F115" s="203">
        <v>0</v>
      </c>
      <c r="G115" s="170"/>
      <c r="H115" s="168"/>
      <c r="I115" s="168"/>
      <c r="J115" s="168"/>
      <c r="K115" s="142" t="s">
        <v>82</v>
      </c>
      <c r="L115" s="169"/>
      <c r="M115" s="83">
        <f>+IF($D$111="Ja",E115*F115,0)</f>
        <v>0</v>
      </c>
    </row>
    <row r="116" spans="1:13" ht="13.2" thickBot="1" x14ac:dyDescent="0.25">
      <c r="A116" s="39"/>
      <c r="B116" s="2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1"/>
    </row>
    <row r="117" spans="1:13" ht="13.2" thickBot="1" x14ac:dyDescent="0.25">
      <c r="A117" s="171" t="s">
        <v>149</v>
      </c>
      <c r="B117" s="172"/>
      <c r="C117" s="172"/>
      <c r="D117" s="172"/>
      <c r="E117" s="172"/>
      <c r="F117" s="172"/>
      <c r="G117" s="172"/>
      <c r="H117" s="172"/>
      <c r="I117" s="172"/>
      <c r="J117" s="172"/>
      <c r="K117" s="172"/>
      <c r="L117" s="172"/>
      <c r="M117" s="173" t="e">
        <f>SUM(M105:O115)</f>
        <v>#DIV/0!</v>
      </c>
    </row>
    <row r="118" spans="1:13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15"/>
    </row>
    <row r="119" spans="1:13" x14ac:dyDescent="0.2">
      <c r="A119" s="186" t="s">
        <v>271</v>
      </c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6" t="e">
        <f>+(M80+M117+M98+M86)</f>
        <v>#DIV/0!</v>
      </c>
    </row>
    <row r="120" spans="1:13" x14ac:dyDescent="0.2">
      <c r="A120" s="2"/>
      <c r="M120" s="183"/>
    </row>
    <row r="121" spans="1:13" x14ac:dyDescent="0.2">
      <c r="A121" s="3" t="s">
        <v>194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">
      <c r="A122" s="2" t="s">
        <v>70</v>
      </c>
      <c r="B122" s="2" t="s">
        <v>423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2">
      <c r="A123" s="2" t="s">
        <v>71</v>
      </c>
      <c r="B123" s="2" t="s">
        <v>72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">
      <c r="A124" s="3" t="s">
        <v>73</v>
      </c>
      <c r="B124" s="195" t="s">
        <v>425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2">
      <c r="A125" s="2"/>
      <c r="M125" s="197"/>
    </row>
    <row r="126" spans="1:13" x14ac:dyDescent="0.2">
      <c r="A126" s="3" t="s">
        <v>199</v>
      </c>
      <c r="F126" s="198"/>
      <c r="I126" s="128"/>
      <c r="J126" s="128"/>
      <c r="M126" s="197"/>
    </row>
    <row r="127" spans="1:13" ht="24" customHeight="1" x14ac:dyDescent="0.2">
      <c r="A127" s="363" t="s">
        <v>158</v>
      </c>
      <c r="B127" s="363"/>
      <c r="C127" s="363"/>
      <c r="D127" s="363"/>
      <c r="E127" s="363"/>
      <c r="F127" s="363"/>
      <c r="G127" s="363"/>
      <c r="H127" s="363"/>
      <c r="I127" s="363"/>
      <c r="J127" s="363"/>
      <c r="K127" s="363"/>
      <c r="L127" s="363"/>
      <c r="M127" s="363"/>
    </row>
    <row r="128" spans="1:13" x14ac:dyDescent="0.2">
      <c r="A128" s="2"/>
    </row>
    <row r="129" spans="1:13" x14ac:dyDescent="0.2">
      <c r="A129" s="3" t="s">
        <v>230</v>
      </c>
    </row>
    <row r="130" spans="1:13" ht="24.75" customHeight="1" x14ac:dyDescent="0.2">
      <c r="A130" s="363" t="s">
        <v>231</v>
      </c>
      <c r="B130" s="363"/>
      <c r="C130" s="363"/>
      <c r="D130" s="363"/>
      <c r="E130" s="363"/>
      <c r="F130" s="363"/>
      <c r="G130" s="363"/>
      <c r="H130" s="363"/>
      <c r="I130" s="363"/>
      <c r="J130" s="363"/>
      <c r="K130" s="363"/>
      <c r="L130" s="363"/>
      <c r="M130" s="363"/>
    </row>
    <row r="131" spans="1:13" ht="24" customHeight="1" x14ac:dyDescent="0.2">
      <c r="A131" s="363" t="s">
        <v>232</v>
      </c>
      <c r="B131" s="363"/>
      <c r="C131" s="363"/>
      <c r="D131" s="363"/>
      <c r="E131" s="363"/>
      <c r="F131" s="363"/>
      <c r="G131" s="363"/>
      <c r="H131" s="363"/>
      <c r="I131" s="363"/>
      <c r="J131" s="363"/>
      <c r="K131" s="363"/>
      <c r="L131" s="363"/>
      <c r="M131" s="363"/>
    </row>
    <row r="133" spans="1:13" x14ac:dyDescent="0.2">
      <c r="A133" s="3" t="s">
        <v>299</v>
      </c>
      <c r="F133" s="198"/>
      <c r="I133" s="196"/>
    </row>
    <row r="134" spans="1:13" ht="24.75" customHeight="1" x14ac:dyDescent="0.2">
      <c r="A134" s="363" t="s">
        <v>298</v>
      </c>
      <c r="B134" s="363"/>
      <c r="C134" s="363"/>
      <c r="D134" s="363"/>
      <c r="E134" s="363"/>
      <c r="F134" s="363"/>
      <c r="G134" s="363"/>
      <c r="H134" s="363"/>
      <c r="I134" s="363"/>
      <c r="J134" s="363"/>
      <c r="K134" s="363"/>
      <c r="L134" s="363"/>
      <c r="M134" s="363"/>
    </row>
    <row r="136" spans="1:13" x14ac:dyDescent="0.2">
      <c r="A136" s="3" t="s">
        <v>430</v>
      </c>
    </row>
    <row r="137" spans="1:13" x14ac:dyDescent="0.2">
      <c r="A137" s="362" t="s">
        <v>428</v>
      </c>
      <c r="B137" s="362"/>
      <c r="C137" s="362"/>
      <c r="D137" s="362"/>
      <c r="E137" s="362"/>
      <c r="F137" s="362"/>
      <c r="G137" s="362"/>
      <c r="H137" s="362"/>
      <c r="I137" s="362"/>
      <c r="J137" s="362"/>
      <c r="K137" s="362"/>
      <c r="L137" s="362"/>
      <c r="M137" s="362"/>
    </row>
    <row r="138" spans="1:13" x14ac:dyDescent="0.2">
      <c r="A138" s="362" t="s">
        <v>429</v>
      </c>
      <c r="B138" s="362"/>
      <c r="C138" s="362"/>
      <c r="D138" s="362"/>
      <c r="E138" s="362"/>
      <c r="F138" s="362"/>
      <c r="G138" s="362"/>
      <c r="H138" s="362"/>
      <c r="I138" s="362"/>
      <c r="J138" s="362"/>
      <c r="K138" s="362"/>
      <c r="L138" s="362"/>
      <c r="M138" s="362"/>
    </row>
    <row r="139" spans="1:13" x14ac:dyDescent="0.2">
      <c r="A139" s="362" t="s">
        <v>427</v>
      </c>
      <c r="B139" s="362"/>
      <c r="C139" s="362"/>
      <c r="D139" s="362"/>
      <c r="E139" s="362"/>
      <c r="F139" s="362"/>
      <c r="G139" s="362"/>
      <c r="H139" s="362"/>
      <c r="I139" s="362"/>
      <c r="J139" s="362"/>
      <c r="K139" s="362"/>
      <c r="L139" s="362"/>
      <c r="M139" s="362"/>
    </row>
  </sheetData>
  <sheetProtection algorithmName="SHA-512" hashValue="2EQBybxCpf7wBFGx9ZRl+p0kNlmE4gjCgWsZWcBWOdOShZ5B9sPhEjSEWbZ63F54W9ijXkSB6mDM2U92kr9rng==" saltValue="oGoj0MDI7j0I1sYV4PTghQ==" spinCount="100000" sheet="1" objects="1" scenarios="1"/>
  <mergeCells count="14">
    <mergeCell ref="A137:M137"/>
    <mergeCell ref="A138:M138"/>
    <mergeCell ref="A139:M139"/>
    <mergeCell ref="N10:O10"/>
    <mergeCell ref="A130:M130"/>
    <mergeCell ref="A96:C96"/>
    <mergeCell ref="A134:M134"/>
    <mergeCell ref="A131:M131"/>
    <mergeCell ref="C80:D80"/>
    <mergeCell ref="I2:M2"/>
    <mergeCell ref="A127:M127"/>
    <mergeCell ref="A8:E8"/>
    <mergeCell ref="B4:C4"/>
    <mergeCell ref="A9:E9"/>
  </mergeCells>
  <dataValidations count="11">
    <dataValidation type="list" allowBlank="1" showInputMessage="1" showErrorMessage="1" sqref="D61" xr:uid="{00000000-0002-0000-0300-000000000000}">
      <formula1>"Forhøjet pensionssats,Almindelig pensionsats"</formula1>
    </dataValidation>
    <dataValidation type="list" allowBlank="1" showInputMessage="1" showErrorMessage="1" sqref="D59 D111" xr:uid="{00000000-0002-0000-0300-000001000000}">
      <formula1>"Vælg,Ja,Nej"</formula1>
    </dataValidation>
    <dataValidation type="list" allowBlank="1" showInputMessage="1" showErrorMessage="1" sqref="D96" xr:uid="{00000000-0002-0000-0300-000002000000}">
      <formula1>"Vælg, Beregner, Overhead"</formula1>
    </dataValidation>
    <dataValidation allowBlank="1" showInputMessage="1" showErrorMessage="1" promptTitle="Til dato" prompt="Indtast slutdato i perioden, dvs. sidste dag i perioden._x000a_dd-mm-åååå_x000a_Eks. ved årsbudget: hvis startdato er 01-04-2019 skal slutdato være 31-03-2020_x000a_" sqref="E6" xr:uid="{27877A2A-1D44-4E2E-BBD2-48B81548FFAE}"/>
    <dataValidation type="list" allowBlank="1" showInputMessage="1" showErrorMessage="1" sqref="B4:C4" xr:uid="{00000000-0002-0000-0300-000005000000}">
      <formula1>Kommuneliste</formula1>
    </dataValidation>
    <dataValidation type="list" allowBlank="1" showInputMessage="1" showErrorMessage="1" promptTitle="Vælg type antal ansatte" prompt="Vælg om der skal beregnes med de faktiske hjælpere i ordningen indsat ved &quot;Løse timer&quot; eller der skal benyttes antal forventede årlige hjælpere ud fra gennemsnitsmodellen på faneblad &quot;Administration&quot;, hvor i afløsere samt udskiftning er medtaget. " sqref="F96" xr:uid="{00000000-0002-0000-0300-000006000000}">
      <formula1>"Vælg, Faktiske ansatte, Årlige ansatte"</formula1>
    </dataValidation>
    <dataValidation type="list" allowBlank="1" showInputMessage="1" showErrorMessage="1" sqref="D90 D92" xr:uid="{00000000-0002-0000-0300-000007000000}">
      <formula1>"Ja,Nej"</formula1>
    </dataValidation>
    <dataValidation allowBlank="1" showInputMessage="1" showErrorMessage="1" promptTitle="Indsæt rummelighedsprocent" prompt="Indsæt rummelighedsprocent, hvis det valgte løntrin i beregneren er højere end løntrin 11. Yderligere forklaring af rummelighed, findes i fanebladet &quot;Forudsætninger&quot;. Hvis intet indsættes benyttes de almindelige p/l-fremskrivning faneblad &quot;Administration&quot;" sqref="E80" xr:uid="{00000000-0002-0000-0300-000009000000}"/>
    <dataValidation type="list" allowBlank="1" showInputMessage="1" showErrorMessage="1" promptTitle="Erfaringslønstrin" prompt="For at få den korrekte timepris (inkl. de korrekte tillæg) til det enkelte erfaringslønstrin som hhv SSH'er eller SSA'er vælges her erfaringstrinnet, som skal medtages i budget" sqref="G9" xr:uid="{FA05B47B-EA4A-4DD0-AA63-0FFCDDB8F01C}">
      <formula1>INDIRECT($F$9)</formula1>
    </dataValidation>
    <dataValidation type="list" allowBlank="1" showInputMessage="1" showErrorMessage="1" promptTitle="Vælg løntrin" prompt="HUSK at vælge løntrin her ved aflønning ift. specielle kvalifikationer ud over almindelig ufaglærte på løntrin 13._x000a_Hvis der skal aflønnes som SSH eller SSA vælges løntrin efter anciienniennitet som i kasserne til højre her for." sqref="F8" xr:uid="{EB531994-1375-4625-9EB7-7722E591131F}">
      <formula1>Løntrin</formula1>
    </dataValidation>
    <dataValidation type="list" allowBlank="1" showInputMessage="1" showErrorMessage="1" promptTitle="SSH eller SSA- aflønning" prompt="Hvis der er tale om BPA-ordning med uddannet personale som SSH'er eller SSA'er, vælges her: SSH-løn eller SSA-løn._x000a_HUSK vælg korrekt løntrin ved løntrin" sqref="F9" xr:uid="{1BC1545F-C2B0-407E-A357-7606F3141C08}">
      <formula1>Vælg</formula1>
    </dataValidation>
  </dataValidations>
  <pageMargins left="0.7" right="0.7" top="0.75" bottom="0.75" header="0.3" footer="0.3"/>
  <pageSetup paperSize="8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3"/>
  <sheetViews>
    <sheetView zoomScaleNormal="100" workbookViewId="0"/>
  </sheetViews>
  <sheetFormatPr defaultColWidth="9.33203125" defaultRowHeight="13.2" outlineLevelCol="1" x14ac:dyDescent="0.25"/>
  <cols>
    <col min="1" max="1" width="55.33203125" customWidth="1"/>
    <col min="2" max="3" width="17.6640625" customWidth="1"/>
    <col min="4" max="4" width="56" style="217" customWidth="1"/>
    <col min="5" max="5" width="4" style="151" customWidth="1"/>
    <col min="6" max="6" width="17.6640625" style="100" customWidth="1" outlineLevel="1"/>
    <col min="7" max="7" width="13.44140625" style="100" customWidth="1" outlineLevel="1"/>
    <col min="8" max="8" width="3" style="100" customWidth="1"/>
    <col min="9" max="9" width="18.109375" style="100" customWidth="1" outlineLevel="1"/>
    <col min="10" max="10" width="13.44140625" style="100" customWidth="1" outlineLevel="1"/>
    <col min="11" max="11" width="3.33203125" customWidth="1"/>
  </cols>
  <sheetData>
    <row r="1" spans="1:10" ht="19.8" x14ac:dyDescent="0.3">
      <c r="A1" s="1" t="s">
        <v>233</v>
      </c>
    </row>
    <row r="3" spans="1:10" x14ac:dyDescent="0.25">
      <c r="A3" s="151" t="s">
        <v>175</v>
      </c>
      <c r="B3" s="218">
        <f>+'BPA-HHOK'!F4</f>
        <v>0</v>
      </c>
      <c r="C3" s="218">
        <f>'SOSU-OK'!F4</f>
        <v>0</v>
      </c>
      <c r="F3" s="315" t="s">
        <v>290</v>
      </c>
      <c r="G3" s="315"/>
      <c r="I3" s="315" t="s">
        <v>234</v>
      </c>
      <c r="J3" s="315"/>
    </row>
    <row r="4" spans="1:10" x14ac:dyDescent="0.25">
      <c r="A4" s="151" t="s">
        <v>276</v>
      </c>
      <c r="B4" s="151"/>
      <c r="F4" s="314" t="s">
        <v>160</v>
      </c>
      <c r="G4" s="314"/>
      <c r="H4" s="219"/>
      <c r="I4" s="314" t="s">
        <v>160</v>
      </c>
      <c r="J4" s="314"/>
    </row>
    <row r="5" spans="1:10" x14ac:dyDescent="0.25">
      <c r="B5" s="220" t="s">
        <v>284</v>
      </c>
      <c r="C5" s="220" t="s">
        <v>235</v>
      </c>
      <c r="D5" s="221" t="s">
        <v>98</v>
      </c>
    </row>
    <row r="6" spans="1:10" ht="25.8" x14ac:dyDescent="0.25">
      <c r="A6" s="222" t="s">
        <v>99</v>
      </c>
      <c r="B6" s="223">
        <f>+('BPA-HHOK'!F46-'BPA-HHOK'!E46/4)*SUM('BPA-HHOK'!G8:H8)*G6</f>
        <v>0</v>
      </c>
      <c r="C6" s="223">
        <f>+('SOSU-OK'!F46-'SOSU-OK'!E46/4)*SUM('SOSU-OK'!G8:H8)*J6</f>
        <v>0</v>
      </c>
      <c r="D6" s="224" t="s">
        <v>173</v>
      </c>
      <c r="E6" s="225"/>
      <c r="F6" s="226" t="s">
        <v>272</v>
      </c>
      <c r="G6" s="227">
        <f>+('BPA-HHOK'!E6-'BPA-HHOK'!C6+1)/7</f>
        <v>52.142857142857146</v>
      </c>
      <c r="I6" s="226" t="s">
        <v>272</v>
      </c>
      <c r="J6" s="227">
        <f>+('SOSU-OK'!E6-'SOSU-OK'!C6+1)/7</f>
        <v>52.142857142857146</v>
      </c>
    </row>
    <row r="7" spans="1:10" ht="38.4" x14ac:dyDescent="0.25">
      <c r="A7" s="222" t="s">
        <v>100</v>
      </c>
      <c r="B7" s="223">
        <f>+'BPA-HHOK'!N46*G6+'BPA-HHOK'!O46</f>
        <v>0</v>
      </c>
      <c r="C7" s="223">
        <f>+'SOSU-OK'!N46*J6+'SOSU-OK'!O46</f>
        <v>0</v>
      </c>
      <c r="D7" s="224" t="s">
        <v>113</v>
      </c>
      <c r="E7" s="225"/>
      <c r="F7" s="226" t="s">
        <v>273</v>
      </c>
      <c r="G7" s="227">
        <f>+(DATE(YEAR('BPA-HHOK'!C6)+1,MONTH('BPA-HHOK'!C6),DAY('BPA-HHOK'!C6))-'BPA-HHOK'!C6)/7</f>
        <v>52.142857142857146</v>
      </c>
      <c r="I7" s="226" t="s">
        <v>273</v>
      </c>
      <c r="J7" s="227">
        <f>+(DATE(YEAR('SOSU-OK'!C6)+1,MONTH('SOSU-OK'!C6),DAY('SOSU-OK'!C6))-'SOSU-OK'!C6)/7</f>
        <v>52.142857142857146</v>
      </c>
    </row>
    <row r="8" spans="1:10" x14ac:dyDescent="0.25">
      <c r="A8" s="222" t="s">
        <v>110</v>
      </c>
      <c r="B8" s="223">
        <f>+('BPA-HHOK'!M51)*G6</f>
        <v>0</v>
      </c>
      <c r="C8" s="223">
        <f>+SUM('SOSU-OK'!M51)*J6</f>
        <v>0</v>
      </c>
      <c r="D8" s="224" t="s">
        <v>111</v>
      </c>
      <c r="E8" s="225"/>
      <c r="F8" s="228"/>
      <c r="G8" s="229"/>
      <c r="I8" s="228"/>
      <c r="J8" s="229"/>
    </row>
    <row r="9" spans="1:10" ht="25.8" x14ac:dyDescent="0.25">
      <c r="A9" s="222" t="s">
        <v>87</v>
      </c>
      <c r="B9" s="223" t="e">
        <f>+'BPA-HHOK'!M53*G6</f>
        <v>#DIV/0!</v>
      </c>
      <c r="C9" s="223" t="e">
        <f>+'SOSU-OK'!M53*J6</f>
        <v>#DIV/0!</v>
      </c>
      <c r="D9" s="224" t="s">
        <v>87</v>
      </c>
      <c r="E9" s="225"/>
      <c r="F9" s="230" t="s">
        <v>161</v>
      </c>
      <c r="G9" s="231" t="s">
        <v>274</v>
      </c>
      <c r="H9" s="232"/>
      <c r="I9" s="230" t="s">
        <v>161</v>
      </c>
      <c r="J9" s="231" t="s">
        <v>274</v>
      </c>
    </row>
    <row r="10" spans="1:10" ht="25.8" x14ac:dyDescent="0.25">
      <c r="A10" s="222" t="s">
        <v>101</v>
      </c>
      <c r="B10" s="223">
        <f>+'BPA-HHOK'!M49*G6</f>
        <v>0</v>
      </c>
      <c r="C10" s="223">
        <f>+'SOSU-OK'!M49*J6</f>
        <v>0</v>
      </c>
      <c r="D10" s="224" t="s">
        <v>291</v>
      </c>
      <c r="E10" s="225"/>
      <c r="F10" s="233" t="s">
        <v>162</v>
      </c>
      <c r="G10" s="227">
        <f>+('BPA-HHOK'!C46+'BPA-HHOK'!E46)*G6</f>
        <v>0</v>
      </c>
      <c r="H10" s="234"/>
      <c r="I10" s="233" t="s">
        <v>162</v>
      </c>
      <c r="J10" s="223">
        <f>+('SOSU-OK'!C46+'SOSU-OK'!E46)*J6</f>
        <v>0</v>
      </c>
    </row>
    <row r="11" spans="1:10" ht="25.8" x14ac:dyDescent="0.25">
      <c r="A11" s="235" t="s">
        <v>102</v>
      </c>
      <c r="B11" s="236" t="e">
        <f>SUM(B6:B10)</f>
        <v>#DIV/0!</v>
      </c>
      <c r="C11" s="236" t="e">
        <f>SUM(C6:C10)</f>
        <v>#DIV/0!</v>
      </c>
      <c r="D11" s="237"/>
      <c r="E11" s="238"/>
      <c r="F11" s="239" t="s">
        <v>163</v>
      </c>
      <c r="G11" s="240">
        <f>+'BPA-HHOK'!E46*G6</f>
        <v>0</v>
      </c>
      <c r="H11" s="241"/>
      <c r="I11" s="239" t="s">
        <v>163</v>
      </c>
      <c r="J11" s="236">
        <f>+'SOSU-OK'!E46*J6</f>
        <v>0</v>
      </c>
    </row>
    <row r="12" spans="1:10" x14ac:dyDescent="0.25">
      <c r="A12" s="222" t="s">
        <v>103</v>
      </c>
      <c r="B12" s="223" t="e">
        <f>+SUM('BPA-HHOK'!M57:M59)*G6</f>
        <v>#DIV/0!</v>
      </c>
      <c r="C12" s="223" t="e">
        <f>+SUM('SOSU-OK'!M57:M59)*J6</f>
        <v>#DIV/0!</v>
      </c>
      <c r="D12" s="224" t="s">
        <v>114</v>
      </c>
      <c r="E12" s="225"/>
      <c r="F12" s="233" t="s">
        <v>164</v>
      </c>
      <c r="G12" s="227">
        <f>+'BPA-HHOK'!D46</f>
        <v>0</v>
      </c>
      <c r="H12" s="234"/>
      <c r="I12" s="233" t="s">
        <v>164</v>
      </c>
      <c r="J12" s="223">
        <f>+'SOSU-OK'!D46</f>
        <v>0</v>
      </c>
    </row>
    <row r="13" spans="1:10" x14ac:dyDescent="0.25">
      <c r="A13" s="222" t="s">
        <v>266</v>
      </c>
      <c r="B13" s="223">
        <f>('BPA-HHOK'!M67)*G6</f>
        <v>0</v>
      </c>
      <c r="C13" s="223">
        <f>('SOSU-OK'!M67)*J6</f>
        <v>0</v>
      </c>
      <c r="D13" s="224"/>
      <c r="E13" s="225"/>
      <c r="F13" s="233" t="s">
        <v>110</v>
      </c>
      <c r="G13" s="227">
        <f>+'BPA-HHOK'!E51*'BPA-HHOK'!F51*G6/G7</f>
        <v>0</v>
      </c>
      <c r="H13" s="234"/>
      <c r="I13" s="233" t="s">
        <v>110</v>
      </c>
      <c r="J13" s="223">
        <f>+'SOSU-OK'!E51*'SOSU-OK'!F51*J6/J7</f>
        <v>0</v>
      </c>
    </row>
    <row r="14" spans="1:10" x14ac:dyDescent="0.25">
      <c r="A14" s="222" t="s">
        <v>39</v>
      </c>
      <c r="B14" s="223">
        <f>+SUM('BPA-HHOK'!M61:M63)*G6</f>
        <v>0</v>
      </c>
      <c r="C14" s="223">
        <f>+SUM('SOSU-OK'!M61:M63)*J6</f>
        <v>0</v>
      </c>
      <c r="D14" s="224" t="s">
        <v>236</v>
      </c>
      <c r="E14" s="225"/>
      <c r="F14" s="233" t="s">
        <v>87</v>
      </c>
      <c r="G14" s="227">
        <f>+'BPA-HHOK'!E53*'BPA-HHOK'!F53*G6/G7</f>
        <v>0</v>
      </c>
      <c r="H14" s="234"/>
      <c r="I14" s="233" t="s">
        <v>87</v>
      </c>
      <c r="J14" s="223">
        <f>+'SOSU-OK'!E53*'SOSU-OK'!F53*J6/J7</f>
        <v>0</v>
      </c>
    </row>
    <row r="15" spans="1:10" x14ac:dyDescent="0.25">
      <c r="A15" s="222" t="s">
        <v>104</v>
      </c>
      <c r="B15" s="223">
        <f>+'BPA-HHOK'!M65*G6</f>
        <v>0</v>
      </c>
      <c r="C15" s="223">
        <f>+'SOSU-OK'!M65*J6</f>
        <v>0</v>
      </c>
      <c r="D15" s="224" t="s">
        <v>115</v>
      </c>
      <c r="E15" s="225"/>
      <c r="F15" s="233" t="s">
        <v>165</v>
      </c>
      <c r="G15" s="227">
        <f>+'BPA-HHOK'!E94*'BPA-HHOK'!F94*G6/G7</f>
        <v>0</v>
      </c>
      <c r="H15" s="234"/>
      <c r="I15" s="233" t="s">
        <v>165</v>
      </c>
      <c r="J15" s="223">
        <f>+'SOSU-OK'!E94*'SOSU-OK'!F94*J6/J7</f>
        <v>0</v>
      </c>
    </row>
    <row r="16" spans="1:10" ht="25.8" x14ac:dyDescent="0.25">
      <c r="A16" s="222" t="s">
        <v>105</v>
      </c>
      <c r="B16" s="223">
        <f>+'BPA-HHOK'!M69*G6</f>
        <v>0</v>
      </c>
      <c r="C16" s="223">
        <f>+'SOSU-OK'!M69*J6</f>
        <v>0</v>
      </c>
      <c r="D16" s="224" t="s">
        <v>292</v>
      </c>
      <c r="E16" s="225"/>
      <c r="F16" s="242" t="s">
        <v>166</v>
      </c>
      <c r="G16" s="243">
        <f>SUM(G10:G15)-G11</f>
        <v>0</v>
      </c>
      <c r="H16" s="244"/>
      <c r="I16" s="242" t="s">
        <v>166</v>
      </c>
      <c r="J16" s="245">
        <f>SUM(J10:J15)-J11</f>
        <v>0</v>
      </c>
    </row>
    <row r="17" spans="1:11" x14ac:dyDescent="0.25">
      <c r="A17" s="222" t="s">
        <v>159</v>
      </c>
      <c r="B17" s="223">
        <f>+('BPA-HHOK'!M71+'BPA-HHOK'!M73)*G6</f>
        <v>0</v>
      </c>
      <c r="C17" s="223">
        <f>+('SOSU-OK'!M71+'SOSU-OK'!M73)*J6</f>
        <v>0</v>
      </c>
      <c r="D17" s="224"/>
      <c r="E17" s="225"/>
      <c r="F17" s="246"/>
      <c r="G17" s="247"/>
      <c r="H17" s="247"/>
      <c r="I17" s="246"/>
      <c r="J17" s="247"/>
    </row>
    <row r="18" spans="1:11" x14ac:dyDescent="0.25">
      <c r="A18" s="222" t="s">
        <v>156</v>
      </c>
      <c r="B18" s="223">
        <f>+'BPA-HHOK'!M75*G6</f>
        <v>0</v>
      </c>
      <c r="C18" s="223">
        <f>+'SOSU-OK'!M75*J6</f>
        <v>0</v>
      </c>
      <c r="D18" s="224"/>
      <c r="E18" s="225"/>
    </row>
    <row r="19" spans="1:11" x14ac:dyDescent="0.25">
      <c r="A19" s="248" t="s">
        <v>238</v>
      </c>
      <c r="B19" s="249" t="e">
        <f>SUM(B11:B18)</f>
        <v>#DIV/0!</v>
      </c>
      <c r="C19" s="249" t="e">
        <f>SUM(C11:C18)</f>
        <v>#DIV/0!</v>
      </c>
      <c r="D19" s="250"/>
      <c r="E19" s="225"/>
    </row>
    <row r="20" spans="1:11" x14ac:dyDescent="0.25">
      <c r="A20" s="222" t="s">
        <v>259</v>
      </c>
      <c r="B20" s="223" t="e">
        <f>+'BPA-HHOK'!M80-'BPA-HHOK'!M79</f>
        <v>#DIV/0!</v>
      </c>
      <c r="C20" s="223" t="e">
        <f>+'SOSU-OK'!M80-'SOSU-OK'!M79</f>
        <v>#DIV/0!</v>
      </c>
      <c r="D20" s="224" t="s">
        <v>168</v>
      </c>
      <c r="E20" s="251"/>
    </row>
    <row r="21" spans="1:11" x14ac:dyDescent="0.25">
      <c r="A21" s="252" t="s">
        <v>237</v>
      </c>
      <c r="B21" s="245" t="e">
        <f>SUM(B19:B20)</f>
        <v>#DIV/0!</v>
      </c>
      <c r="C21" s="245" t="e">
        <f>SUM(C19:C20)</f>
        <v>#DIV/0!</v>
      </c>
      <c r="D21" s="253"/>
      <c r="E21" s="225"/>
    </row>
    <row r="22" spans="1:11" x14ac:dyDescent="0.25">
      <c r="A22" s="222" t="s">
        <v>106</v>
      </c>
      <c r="B22" s="223">
        <f>+'BPA-HHOK'!M90</f>
        <v>0</v>
      </c>
      <c r="C22" s="223">
        <f>+'SOSU-OK'!M90</f>
        <v>0</v>
      </c>
      <c r="D22" s="224" t="s">
        <v>109</v>
      </c>
      <c r="E22" s="246"/>
    </row>
    <row r="23" spans="1:11" x14ac:dyDescent="0.25">
      <c r="A23" s="222" t="s">
        <v>81</v>
      </c>
      <c r="B23" s="223">
        <f>+'BPA-HHOK'!M92</f>
        <v>0</v>
      </c>
      <c r="C23" s="223">
        <f>+'SOSU-OK'!M92</f>
        <v>0</v>
      </c>
      <c r="D23" s="224" t="s">
        <v>109</v>
      </c>
      <c r="E23" s="225"/>
    </row>
    <row r="24" spans="1:11" x14ac:dyDescent="0.25">
      <c r="A24" s="222" t="s">
        <v>108</v>
      </c>
      <c r="B24" s="223">
        <f>+'BPA-HHOK'!M94</f>
        <v>0</v>
      </c>
      <c r="C24" s="223">
        <f>+'SOSU-OK'!M94</f>
        <v>0</v>
      </c>
      <c r="D24" s="224" t="s">
        <v>152</v>
      </c>
      <c r="E24" s="225"/>
    </row>
    <row r="25" spans="1:11" x14ac:dyDescent="0.25">
      <c r="A25" s="252" t="s">
        <v>150</v>
      </c>
      <c r="B25" s="245" t="e">
        <f>+SUM(B21:B24)</f>
        <v>#DIV/0!</v>
      </c>
      <c r="C25" s="245" t="e">
        <f>+SUM(C21:C24)</f>
        <v>#DIV/0!</v>
      </c>
      <c r="D25" s="253"/>
      <c r="E25" s="225"/>
    </row>
    <row r="26" spans="1:11" s="254" customFormat="1" x14ac:dyDescent="0.25">
      <c r="A26" s="222" t="s">
        <v>239</v>
      </c>
      <c r="B26" s="223">
        <f>+SUM('BPA-HHOK'!M111:M115)</f>
        <v>0</v>
      </c>
      <c r="C26" s="223">
        <f>+SUM('SOSU-OK'!M111:M115)</f>
        <v>0</v>
      </c>
      <c r="D26" s="224" t="s">
        <v>152</v>
      </c>
      <c r="E26" s="246"/>
      <c r="F26" s="100"/>
      <c r="G26" s="100"/>
      <c r="H26" s="100"/>
      <c r="I26" s="100"/>
      <c r="J26" s="100"/>
      <c r="K26"/>
    </row>
    <row r="27" spans="1:11" x14ac:dyDescent="0.25">
      <c r="A27" s="222" t="s">
        <v>107</v>
      </c>
      <c r="B27" s="223" t="e">
        <f>+'BPA-HHOK'!M105+'BPA-HHOK'!M107</f>
        <v>#DIV/0!</v>
      </c>
      <c r="C27" s="223" t="e">
        <f>+'SOSU-OK'!M105+'SOSU-OK'!M107</f>
        <v>#DIV/0!</v>
      </c>
      <c r="D27" s="224" t="s">
        <v>240</v>
      </c>
      <c r="E27" s="225"/>
    </row>
    <row r="28" spans="1:11" x14ac:dyDescent="0.25">
      <c r="A28" s="222" t="s">
        <v>112</v>
      </c>
      <c r="B28" s="223">
        <f>'BPA-HHOK'!M109</f>
        <v>0</v>
      </c>
      <c r="C28" s="223">
        <f>'SOSU-OK'!M109</f>
        <v>0</v>
      </c>
      <c r="D28" s="224"/>
      <c r="E28" s="225"/>
      <c r="K28" s="254"/>
    </row>
    <row r="29" spans="1:11" x14ac:dyDescent="0.25">
      <c r="A29" s="252" t="s">
        <v>151</v>
      </c>
      <c r="B29" s="245" t="e">
        <f>SUM(B25:B28)</f>
        <v>#DIV/0!</v>
      </c>
      <c r="C29" s="245" t="e">
        <f>SUM(C25:C28)</f>
        <v>#DIV/0!</v>
      </c>
      <c r="D29" s="253"/>
      <c r="E29" s="225"/>
      <c r="K29" s="254"/>
    </row>
    <row r="30" spans="1:11" x14ac:dyDescent="0.25">
      <c r="A30" s="222" t="s">
        <v>143</v>
      </c>
      <c r="B30" s="223" t="e">
        <f>+'BPA-HHOK'!M86</f>
        <v>#DIV/0!</v>
      </c>
      <c r="C30" s="223" t="e">
        <f>+'SOSU-OK'!M86</f>
        <v>#DIV/0!</v>
      </c>
      <c r="D30" s="224"/>
      <c r="E30" s="246"/>
    </row>
    <row r="31" spans="1:11" ht="25.8" x14ac:dyDescent="0.25">
      <c r="A31" s="222" t="s">
        <v>121</v>
      </c>
      <c r="B31" s="223">
        <f>+'BPA-HHOK'!M96</f>
        <v>0</v>
      </c>
      <c r="C31" s="223">
        <f>+'SOSU-OK'!M96</f>
        <v>0</v>
      </c>
      <c r="D31" s="224" t="s">
        <v>296</v>
      </c>
      <c r="E31" s="225"/>
      <c r="F31" s="103"/>
      <c r="G31" s="103"/>
      <c r="H31" s="103"/>
      <c r="I31" s="103"/>
      <c r="J31" s="103"/>
    </row>
    <row r="32" spans="1:11" x14ac:dyDescent="0.25">
      <c r="A32" s="252" t="s">
        <v>144</v>
      </c>
      <c r="B32" s="245" t="e">
        <f>SUM(B29:B31)</f>
        <v>#DIV/0!</v>
      </c>
      <c r="C32" s="245" t="e">
        <f>SUM(C29:C31)</f>
        <v>#DIV/0!</v>
      </c>
      <c r="D32" s="253"/>
      <c r="E32" s="225"/>
    </row>
    <row r="33" spans="1:11" x14ac:dyDescent="0.25">
      <c r="E33" s="246"/>
    </row>
    <row r="34" spans="1:11" x14ac:dyDescent="0.25">
      <c r="A34" s="252" t="s">
        <v>277</v>
      </c>
      <c r="B34" s="245" t="e">
        <f>+B32</f>
        <v>#DIV/0!</v>
      </c>
      <c r="C34" s="245" t="e">
        <f>+C32</f>
        <v>#DIV/0!</v>
      </c>
      <c r="D34" s="253"/>
    </row>
    <row r="35" spans="1:11" x14ac:dyDescent="0.25">
      <c r="A35" s="248" t="s">
        <v>172</v>
      </c>
      <c r="B35" s="249" t="e">
        <f>+B34/(G6/(G7/12))</f>
        <v>#DIV/0!</v>
      </c>
      <c r="C35" s="249" t="e">
        <f>+C34/(J6/J7*12)</f>
        <v>#DIV/0!</v>
      </c>
      <c r="D35" s="250"/>
      <c r="E35" s="246"/>
    </row>
    <row r="36" spans="1:11" s="256" customFormat="1" x14ac:dyDescent="0.25">
      <c r="A36" s="235" t="s">
        <v>170</v>
      </c>
      <c r="B36" s="236" t="e">
        <f>+B27</f>
        <v>#DIV/0!</v>
      </c>
      <c r="C36" s="236" t="e">
        <f>+C27</f>
        <v>#DIV/0!</v>
      </c>
      <c r="D36" s="237" t="s">
        <v>174</v>
      </c>
      <c r="E36" s="255"/>
      <c r="F36" s="100"/>
      <c r="G36" s="100"/>
      <c r="H36" s="100"/>
      <c r="I36" s="100"/>
      <c r="J36" s="100"/>
      <c r="K36"/>
    </row>
    <row r="37" spans="1:11" s="256" customFormat="1" x14ac:dyDescent="0.25">
      <c r="A37" s="235" t="s">
        <v>171</v>
      </c>
      <c r="B37" s="236">
        <f>+B26</f>
        <v>0</v>
      </c>
      <c r="C37" s="236">
        <f>+C26</f>
        <v>0</v>
      </c>
      <c r="D37" s="237" t="s">
        <v>174</v>
      </c>
      <c r="E37" s="238"/>
      <c r="F37" s="100"/>
      <c r="G37" s="100"/>
      <c r="H37" s="100"/>
      <c r="I37" s="100"/>
      <c r="J37" s="100"/>
      <c r="K37"/>
    </row>
    <row r="38" spans="1:11" s="256" customFormat="1" ht="25.8" x14ac:dyDescent="0.25">
      <c r="A38" s="252" t="s">
        <v>169</v>
      </c>
      <c r="B38" s="245" t="e">
        <f>+(B34-B36-B37)/(G6/(G7/12))</f>
        <v>#DIV/0!</v>
      </c>
      <c r="C38" s="245" t="e">
        <f>+(C34-C36-C37)/(J6/(J7/12))</f>
        <v>#DIV/0!</v>
      </c>
      <c r="D38" s="253" t="s">
        <v>241</v>
      </c>
      <c r="E38" s="238"/>
      <c r="F38" s="100"/>
      <c r="G38" s="100"/>
      <c r="H38" s="100"/>
      <c r="I38" s="100"/>
      <c r="J38" s="100"/>
    </row>
    <row r="39" spans="1:11" s="254" customFormat="1" x14ac:dyDescent="0.25">
      <c r="A39" s="222" t="s">
        <v>167</v>
      </c>
      <c r="B39" s="223" t="e">
        <f>+B21/(G16-G15)</f>
        <v>#DIV/0!</v>
      </c>
      <c r="C39" s="223" t="e">
        <f>+C21/(J16-J15)</f>
        <v>#DIV/0!</v>
      </c>
      <c r="D39" s="253"/>
      <c r="E39" s="257"/>
      <c r="F39" s="100"/>
      <c r="G39" s="100"/>
      <c r="H39" s="100"/>
      <c r="I39" s="100"/>
      <c r="J39" s="100"/>
      <c r="K39" s="256"/>
    </row>
    <row r="40" spans="1:11" x14ac:dyDescent="0.25">
      <c r="F40" s="258"/>
      <c r="G40" s="258"/>
      <c r="H40" s="258"/>
      <c r="I40" s="258"/>
      <c r="J40" s="258"/>
      <c r="K40" s="256"/>
    </row>
    <row r="41" spans="1:11" x14ac:dyDescent="0.25">
      <c r="F41" s="258"/>
      <c r="G41" s="258"/>
      <c r="H41" s="258"/>
      <c r="I41" s="258"/>
      <c r="J41" s="258"/>
      <c r="K41" s="254"/>
    </row>
    <row r="42" spans="1:11" x14ac:dyDescent="0.25">
      <c r="F42" s="258"/>
      <c r="G42" s="258"/>
      <c r="H42" s="258"/>
      <c r="I42" s="258"/>
      <c r="J42" s="258"/>
    </row>
    <row r="43" spans="1:11" x14ac:dyDescent="0.25">
      <c r="F43" s="103"/>
      <c r="G43" s="103"/>
      <c r="H43" s="103"/>
      <c r="I43" s="103"/>
      <c r="J43" s="103"/>
    </row>
  </sheetData>
  <sheetProtection algorithmName="SHA-512" hashValue="KsYb13xmMOdWl+Kko1GBm9pFiDSNplQWZ6+szVoPzd6RPdOEeykN6/Wk5ez8v5kWdC9fSB7MePlc7ky324qKVw==" saltValue="xDdgqzLBNAhUxdorSf2YjQ==" spinCount="100000" sheet="1" objects="1" scenarios="1"/>
  <mergeCells count="4">
    <mergeCell ref="F4:G4"/>
    <mergeCell ref="I4:J4"/>
    <mergeCell ref="I3:J3"/>
    <mergeCell ref="F3:G3"/>
  </mergeCells>
  <pageMargins left="0.7" right="0.7" top="0.75" bottom="0.75" header="0.3" footer="0.3"/>
  <pageSetup paperSize="8" scale="99" fitToHeight="0" orientation="landscape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16D895616D844C8E905A16099DF622" ma:contentTypeVersion="18" ma:contentTypeDescription="Opret et nyt dokument." ma:contentTypeScope="" ma:versionID="7deb482dc49db19e81296e53076e7cae">
  <xsd:schema xmlns:xsd="http://www.w3.org/2001/XMLSchema" xmlns:xs="http://www.w3.org/2001/XMLSchema" xmlns:p="http://schemas.microsoft.com/office/2006/metadata/properties" xmlns:ns2="62e6af6a-1476-4df8-a022-91b43d74a5fe" xmlns:ns3="385c96bc-e50f-4680-a7fe-9fd0e7daf04a" targetNamespace="http://schemas.microsoft.com/office/2006/metadata/properties" ma:root="true" ma:fieldsID="774224d8bad856a5931217cdb50341f3" ns2:_="" ns3:_="">
    <xsd:import namespace="62e6af6a-1476-4df8-a022-91b43d74a5fe"/>
    <xsd:import namespace="385c96bc-e50f-4680-a7fe-9fd0e7daf0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6af6a-1476-4df8-a022-91b43d74a5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bd6ad409-ced6-4e7c-be47-5c4a5c5bb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c96bc-e50f-4680-a7fe-9fd0e7daf04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1805f2-372c-4d81-ae25-b7ab7b227c03}" ma:internalName="TaxCatchAll" ma:showField="CatchAllData" ma:web="385c96bc-e50f-4680-a7fe-9fd0e7daf0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e6af6a-1476-4df8-a022-91b43d74a5fe">
      <Terms xmlns="http://schemas.microsoft.com/office/infopath/2007/PartnerControls"/>
    </lcf76f155ced4ddcb4097134ff3c332f>
    <TaxCatchAll xmlns="385c96bc-e50f-4680-a7fe-9fd0e7daf04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4BEB7B-13E3-424E-B9EE-C48100072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e6af6a-1476-4df8-a022-91b43d74a5fe"/>
    <ds:schemaRef ds:uri="385c96bc-e50f-4680-a7fe-9fd0e7daf0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F4CF91-A7C1-4EEE-B099-D66F75A47D5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385c96bc-e50f-4680-a7fe-9fd0e7daf04a"/>
    <ds:schemaRef ds:uri="62e6af6a-1476-4df8-a022-91b43d74a5fe"/>
  </ds:schemaRefs>
</ds:datastoreItem>
</file>

<file path=customXml/itemProps3.xml><?xml version="1.0" encoding="utf-8"?>
<ds:datastoreItem xmlns:ds="http://schemas.openxmlformats.org/officeDocument/2006/customXml" ds:itemID="{0B2F0963-97F0-4D07-935D-CCDEB191F94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5445eb2-6822-4cf0-8a65-6deda71e3e95}" enabled="0" method="" siteId="{35445eb2-6822-4cf0-8a65-6deda71e3e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19</vt:i4>
      </vt:variant>
    </vt:vector>
  </HeadingPairs>
  <TitlesOfParts>
    <vt:vector size="24" baseType="lpstr">
      <vt:lpstr>Administration</vt:lpstr>
      <vt:lpstr>Forudsætninger</vt:lpstr>
      <vt:lpstr>BPA-HHOK</vt:lpstr>
      <vt:lpstr>SOSU-OK</vt:lpstr>
      <vt:lpstr>Budgetark</vt:lpstr>
      <vt:lpstr>Forhøjetpension</vt:lpstr>
      <vt:lpstr>Fremskrivning</vt:lpstr>
      <vt:lpstr>Kommuneliste</vt:lpstr>
      <vt:lpstr>Kommunenavn</vt:lpstr>
      <vt:lpstr>Lønsatser</vt:lpstr>
      <vt:lpstr>Løntrin</vt:lpstr>
      <vt:lpstr>SSA</vt:lpstr>
      <vt:lpstr>SSA.</vt:lpstr>
      <vt:lpstr>SSAløn</vt:lpstr>
      <vt:lpstr>SSAtillæg</vt:lpstr>
      <vt:lpstr>SSATillæg.</vt:lpstr>
      <vt:lpstr>SSH</vt:lpstr>
      <vt:lpstr>SSH.</vt:lpstr>
      <vt:lpstr>SSHløn</vt:lpstr>
      <vt:lpstr>SSHtillæg</vt:lpstr>
      <vt:lpstr>SSHTillæg.</vt:lpstr>
      <vt:lpstr>Stedtillæg</vt:lpstr>
      <vt:lpstr>Timepriser</vt:lpstr>
      <vt:lpstr>Vælg</vt:lpstr>
    </vt:vector>
  </TitlesOfParts>
  <Company>Vejle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ØVRIGE</dc:subject>
  <dc:creator>Kristina Munkegaard</dc:creator>
  <dc:description>MASTER TIL KRONEBEREGNING</dc:description>
  <cp:lastModifiedBy>Martin Jeppesen Nyborg</cp:lastModifiedBy>
  <cp:lastPrinted>2019-08-28T12:57:08Z</cp:lastPrinted>
  <dcterms:created xsi:type="dcterms:W3CDTF">2009-06-02T07:30:36Z</dcterms:created>
  <dcterms:modified xsi:type="dcterms:W3CDTF">2026-09-17T06:33:25Z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0x0101000D16D895616D844C8E905A16099DF622</vt:lpwstr>
  </property>
  <property fmtid="{D5CDD505-2E9C-101B-9397-08002B2CF9AE}" pid="3" name="MediaServiceImageTags">
    <vt:lpwstr/>
  </property>
</Properties>
</file>